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CSFTA WL 24-25\"/>
    </mc:Choice>
  </mc:AlternateContent>
  <xr:revisionPtr revIDLastSave="0" documentId="13_ncr:1_{AD2492BD-D08F-49D1-8698-EBE877CF5C84}" xr6:coauthVersionLast="47" xr6:coauthVersionMax="47" xr10:uidLastSave="{00000000-0000-0000-0000-000000000000}"/>
  <bookViews>
    <workbookView xWindow="-108" yWindow="-108" windowWidth="23256" windowHeight="13896" firstSheet="1" activeTab="4" xr2:uid="{865EEAA2-9569-49FA-9515-BBA246F6BA11}"/>
  </bookViews>
  <sheets>
    <sheet name="Scores" sheetId="3" state="hidden" r:id="rId1"/>
    <sheet name="Teams" sheetId="2" r:id="rId2"/>
    <sheet name="Gary Wells" sheetId="8" state="hidden" r:id="rId3"/>
    <sheet name="Overall" sheetId="6" state="hidden" r:id="rId4"/>
    <sheet name="Grades" sheetId="5" r:id="rId5"/>
    <sheet name="Calculations" sheetId="4" state="hidden" r:id="rId6"/>
    <sheet name="Lookups" sheetId="1" state="hidden" r:id="rId7"/>
    <sheet name="Instructions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C103" i="4"/>
  <c r="AG103" i="4"/>
  <c r="D103" i="4" s="1"/>
  <c r="AF103" i="4" a="1"/>
  <c r="AF103" i="4" s="1"/>
  <c r="I103" i="4" s="1"/>
  <c r="AE103" i="4"/>
  <c r="AD103" i="4"/>
  <c r="J103" i="4" s="1"/>
  <c r="L103" i="4"/>
  <c r="K103" i="4"/>
  <c r="H103" i="4"/>
  <c r="G103" i="4"/>
  <c r="S103" i="4"/>
  <c r="S106" i="4"/>
  <c r="S107" i="4"/>
  <c r="AV5" i="4"/>
  <c r="AU5" i="4"/>
  <c r="AT5" i="4"/>
  <c r="AS5" i="4"/>
  <c r="AR5" i="4"/>
  <c r="N38" i="4"/>
  <c r="O38" i="4"/>
  <c r="P38" i="4"/>
  <c r="Q38" i="4"/>
  <c r="R38" i="4"/>
  <c r="S38" i="4"/>
  <c r="T38" i="4"/>
  <c r="U38" i="4"/>
  <c r="N39" i="4"/>
  <c r="O39" i="4"/>
  <c r="P39" i="4"/>
  <c r="Q39" i="4"/>
  <c r="R39" i="4"/>
  <c r="S39" i="4"/>
  <c r="T39" i="4"/>
  <c r="U39" i="4"/>
  <c r="N40" i="4"/>
  <c r="O40" i="4"/>
  <c r="P40" i="4"/>
  <c r="Q40" i="4"/>
  <c r="R40" i="4"/>
  <c r="S40" i="4"/>
  <c r="T40" i="4"/>
  <c r="U40" i="4"/>
  <c r="N41" i="4"/>
  <c r="O41" i="4"/>
  <c r="P41" i="4"/>
  <c r="Q41" i="4"/>
  <c r="R41" i="4"/>
  <c r="S41" i="4"/>
  <c r="T41" i="4"/>
  <c r="U41" i="4"/>
  <c r="N42" i="4"/>
  <c r="O42" i="4"/>
  <c r="P42" i="4"/>
  <c r="Q42" i="4"/>
  <c r="R42" i="4"/>
  <c r="S42" i="4"/>
  <c r="T42" i="4"/>
  <c r="U42" i="4"/>
  <c r="N43" i="4"/>
  <c r="O43" i="4"/>
  <c r="P43" i="4"/>
  <c r="Q43" i="4"/>
  <c r="R43" i="4"/>
  <c r="S43" i="4"/>
  <c r="T43" i="4"/>
  <c r="U43" i="4"/>
  <c r="N44" i="4"/>
  <c r="O44" i="4"/>
  <c r="P44" i="4"/>
  <c r="Q44" i="4"/>
  <c r="R44" i="4"/>
  <c r="S44" i="4"/>
  <c r="T44" i="4"/>
  <c r="U44" i="4"/>
  <c r="N45" i="4"/>
  <c r="O45" i="4"/>
  <c r="P45" i="4"/>
  <c r="Q45" i="4"/>
  <c r="R45" i="4"/>
  <c r="S45" i="4"/>
  <c r="T45" i="4"/>
  <c r="U45" i="4"/>
  <c r="N46" i="4"/>
  <c r="O46" i="4"/>
  <c r="P46" i="4"/>
  <c r="Q46" i="4"/>
  <c r="R46" i="4"/>
  <c r="S46" i="4"/>
  <c r="T46" i="4"/>
  <c r="U46" i="4"/>
  <c r="N47" i="4"/>
  <c r="O47" i="4"/>
  <c r="P47" i="4"/>
  <c r="Q47" i="4"/>
  <c r="R47" i="4"/>
  <c r="S47" i="4"/>
  <c r="T47" i="4"/>
  <c r="U47" i="4"/>
  <c r="N48" i="4"/>
  <c r="O48" i="4"/>
  <c r="P48" i="4"/>
  <c r="Q48" i="4"/>
  <c r="R48" i="4"/>
  <c r="S48" i="4"/>
  <c r="T48" i="4"/>
  <c r="U48" i="4"/>
  <c r="N49" i="4"/>
  <c r="O49" i="4"/>
  <c r="P49" i="4"/>
  <c r="Q49" i="4"/>
  <c r="R49" i="4"/>
  <c r="S49" i="4"/>
  <c r="T49" i="4"/>
  <c r="U49" i="4"/>
  <c r="N50" i="4"/>
  <c r="O50" i="4"/>
  <c r="P50" i="4"/>
  <c r="Q50" i="4"/>
  <c r="R50" i="4"/>
  <c r="S50" i="4"/>
  <c r="T50" i="4"/>
  <c r="U50" i="4"/>
  <c r="N51" i="4"/>
  <c r="O51" i="4"/>
  <c r="P51" i="4"/>
  <c r="Q51" i="4"/>
  <c r="R51" i="4"/>
  <c r="S51" i="4"/>
  <c r="T51" i="4"/>
  <c r="U51" i="4"/>
  <c r="N52" i="4"/>
  <c r="O52" i="4"/>
  <c r="P52" i="4"/>
  <c r="Q52" i="4"/>
  <c r="R52" i="4"/>
  <c r="S52" i="4"/>
  <c r="T52" i="4"/>
  <c r="U52" i="4"/>
  <c r="N53" i="4"/>
  <c r="O53" i="4"/>
  <c r="P53" i="4"/>
  <c r="Q53" i="4"/>
  <c r="R53" i="4"/>
  <c r="S53" i="4"/>
  <c r="T53" i="4"/>
  <c r="U53" i="4"/>
  <c r="N54" i="4"/>
  <c r="O54" i="4"/>
  <c r="P54" i="4"/>
  <c r="Q54" i="4"/>
  <c r="R54" i="4"/>
  <c r="S54" i="4"/>
  <c r="T54" i="4"/>
  <c r="U54" i="4"/>
  <c r="N55" i="4"/>
  <c r="O55" i="4"/>
  <c r="P55" i="4"/>
  <c r="Q55" i="4"/>
  <c r="R55" i="4"/>
  <c r="S55" i="4"/>
  <c r="T55" i="4"/>
  <c r="U55" i="4"/>
  <c r="N56" i="4"/>
  <c r="O56" i="4"/>
  <c r="P56" i="4"/>
  <c r="Q56" i="4"/>
  <c r="R56" i="4"/>
  <c r="S56" i="4"/>
  <c r="T56" i="4"/>
  <c r="U56" i="4"/>
  <c r="N57" i="4"/>
  <c r="O57" i="4"/>
  <c r="P57" i="4"/>
  <c r="Q57" i="4"/>
  <c r="R57" i="4"/>
  <c r="S57" i="4"/>
  <c r="T57" i="4"/>
  <c r="U57" i="4"/>
  <c r="N58" i="4"/>
  <c r="O58" i="4"/>
  <c r="P58" i="4"/>
  <c r="Q58" i="4"/>
  <c r="R58" i="4"/>
  <c r="S58" i="4"/>
  <c r="T58" i="4"/>
  <c r="U58" i="4"/>
  <c r="N59" i="4"/>
  <c r="O59" i="4"/>
  <c r="P59" i="4"/>
  <c r="Q59" i="4"/>
  <c r="R59" i="4"/>
  <c r="S59" i="4"/>
  <c r="T59" i="4"/>
  <c r="U59" i="4"/>
  <c r="N60" i="4"/>
  <c r="O60" i="4"/>
  <c r="P60" i="4"/>
  <c r="Q60" i="4"/>
  <c r="R60" i="4"/>
  <c r="S60" i="4"/>
  <c r="T60" i="4"/>
  <c r="U60" i="4"/>
  <c r="N61" i="4"/>
  <c r="O61" i="4"/>
  <c r="P61" i="4"/>
  <c r="Q61" i="4"/>
  <c r="R61" i="4"/>
  <c r="S61" i="4"/>
  <c r="T61" i="4"/>
  <c r="U61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N98" i="4"/>
  <c r="O98" i="4"/>
  <c r="P98" i="4"/>
  <c r="Q98" i="4"/>
  <c r="R98" i="4"/>
  <c r="S98" i="4"/>
  <c r="T98" i="4"/>
  <c r="U98" i="4"/>
  <c r="N99" i="4"/>
  <c r="O99" i="4"/>
  <c r="P99" i="4"/>
  <c r="Q99" i="4"/>
  <c r="R99" i="4"/>
  <c r="S99" i="4"/>
  <c r="T99" i="4"/>
  <c r="U99" i="4"/>
  <c r="N100" i="4"/>
  <c r="O100" i="4"/>
  <c r="P100" i="4"/>
  <c r="Q100" i="4"/>
  <c r="R100" i="4"/>
  <c r="S100" i="4"/>
  <c r="T100" i="4"/>
  <c r="U100" i="4"/>
  <c r="N101" i="4"/>
  <c r="O101" i="4"/>
  <c r="P101" i="4"/>
  <c r="Q101" i="4"/>
  <c r="R101" i="4"/>
  <c r="S101" i="4"/>
  <c r="T101" i="4"/>
  <c r="U101" i="4"/>
  <c r="N102" i="4"/>
  <c r="O102" i="4"/>
  <c r="P102" i="4"/>
  <c r="Q102" i="4"/>
  <c r="R102" i="4"/>
  <c r="S102" i="4"/>
  <c r="T102" i="4"/>
  <c r="U102" i="4"/>
  <c r="N104" i="4"/>
  <c r="O104" i="4"/>
  <c r="P104" i="4"/>
  <c r="Q104" i="4"/>
  <c r="R104" i="4"/>
  <c r="S104" i="4"/>
  <c r="T104" i="4"/>
  <c r="U104" i="4"/>
  <c r="N105" i="4"/>
  <c r="O105" i="4"/>
  <c r="P105" i="4"/>
  <c r="Q105" i="4"/>
  <c r="R105" i="4"/>
  <c r="S105" i="4"/>
  <c r="T105" i="4"/>
  <c r="U105" i="4"/>
  <c r="N106" i="4"/>
  <c r="O106" i="4"/>
  <c r="P106" i="4"/>
  <c r="Q106" i="4"/>
  <c r="R106" i="4"/>
  <c r="T106" i="4"/>
  <c r="U106" i="4"/>
  <c r="N107" i="4"/>
  <c r="O107" i="4"/>
  <c r="P107" i="4"/>
  <c r="Q107" i="4"/>
  <c r="R107" i="4"/>
  <c r="T107" i="4"/>
  <c r="U107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N110" i="4"/>
  <c r="O110" i="4"/>
  <c r="P110" i="4"/>
  <c r="Q110" i="4"/>
  <c r="R110" i="4"/>
  <c r="S110" i="4"/>
  <c r="T110" i="4"/>
  <c r="U110" i="4"/>
  <c r="G106" i="4"/>
  <c r="H106" i="4"/>
  <c r="K106" i="4"/>
  <c r="L106" i="4"/>
  <c r="M106" i="4"/>
  <c r="G107" i="4"/>
  <c r="H107" i="4"/>
  <c r="K107" i="4"/>
  <c r="L107" i="4"/>
  <c r="M107" i="4"/>
  <c r="G108" i="4"/>
  <c r="H108" i="4"/>
  <c r="K108" i="4"/>
  <c r="L108" i="4"/>
  <c r="M108" i="4"/>
  <c r="G109" i="4"/>
  <c r="H109" i="4"/>
  <c r="K109" i="4"/>
  <c r="L109" i="4"/>
  <c r="M109" i="4"/>
  <c r="M104" i="4"/>
  <c r="L104" i="4"/>
  <c r="K104" i="4"/>
  <c r="H104" i="4"/>
  <c r="G104" i="4"/>
  <c r="U34" i="4"/>
  <c r="U35" i="4"/>
  <c r="U36" i="4"/>
  <c r="U37" i="4"/>
  <c r="AG109" i="4" l="1"/>
  <c r="AE108" i="4"/>
  <c r="AG104" i="4"/>
  <c r="AD109" i="4"/>
  <c r="AD108" i="4"/>
  <c r="AE109" i="4"/>
  <c r="AD107" i="4"/>
  <c r="J107" i="4" s="1"/>
  <c r="AD106" i="4"/>
  <c r="AG108" i="4"/>
  <c r="AG107" i="4"/>
  <c r="AG106" i="4"/>
  <c r="AD104" i="4"/>
  <c r="P74" i="4"/>
  <c r="P75" i="4"/>
  <c r="D141" i="4"/>
  <c r="C101" i="3"/>
  <c r="B101" i="3"/>
  <c r="AA4" i="2" a="1"/>
  <c r="AA4" i="2" s="1"/>
  <c r="AA5" i="2" a="1"/>
  <c r="AA5" i="2" s="1"/>
  <c r="AA6" i="2" a="1"/>
  <c r="AA6" i="2" s="1"/>
  <c r="AA7" i="2" a="1"/>
  <c r="AA7" i="2" s="1"/>
  <c r="AA8" i="2" a="1"/>
  <c r="AA8" i="2" s="1"/>
  <c r="AA9" i="2" a="1"/>
  <c r="AA9" i="2" s="1"/>
  <c r="AA10" i="2" a="1"/>
  <c r="AA10" i="2" s="1"/>
  <c r="AA11" i="2" a="1"/>
  <c r="AA11" i="2" s="1"/>
  <c r="AA3" i="2" a="1"/>
  <c r="AA3" i="2" s="1"/>
  <c r="M120" i="2"/>
  <c r="L120" i="2"/>
  <c r="K120" i="2"/>
  <c r="J120" i="2"/>
  <c r="I120" i="2"/>
  <c r="H120" i="2"/>
  <c r="G120" i="2"/>
  <c r="F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M115" i="2"/>
  <c r="L115" i="2"/>
  <c r="K115" i="2"/>
  <c r="J115" i="2"/>
  <c r="I115" i="2"/>
  <c r="H115" i="2"/>
  <c r="G115" i="2"/>
  <c r="F115" i="2"/>
  <c r="M111" i="2"/>
  <c r="L111" i="2"/>
  <c r="K111" i="2"/>
  <c r="J111" i="2"/>
  <c r="I111" i="2"/>
  <c r="H111" i="2"/>
  <c r="G111" i="2"/>
  <c r="F111" i="2"/>
  <c r="M110" i="2"/>
  <c r="L110" i="2"/>
  <c r="K110" i="2"/>
  <c r="J110" i="2"/>
  <c r="I110" i="2"/>
  <c r="H110" i="2"/>
  <c r="G110" i="2"/>
  <c r="F110" i="2"/>
  <c r="M109" i="2"/>
  <c r="L109" i="2"/>
  <c r="K109" i="2"/>
  <c r="J109" i="2"/>
  <c r="I109" i="2"/>
  <c r="H109" i="2"/>
  <c r="G109" i="2"/>
  <c r="F109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M73" i="2"/>
  <c r="L73" i="2"/>
  <c r="M72" i="2"/>
  <c r="L72" i="2"/>
  <c r="M71" i="2"/>
  <c r="L71" i="2"/>
  <c r="M70" i="2"/>
  <c r="L70" i="2"/>
  <c r="M66" i="2"/>
  <c r="L66" i="2"/>
  <c r="G66" i="2"/>
  <c r="M65" i="2"/>
  <c r="L65" i="2"/>
  <c r="G65" i="2"/>
  <c r="M64" i="2"/>
  <c r="L64" i="2"/>
  <c r="K64" i="2"/>
  <c r="J64" i="2"/>
  <c r="I64" i="2"/>
  <c r="M63" i="2"/>
  <c r="L63" i="2"/>
  <c r="K63" i="2"/>
  <c r="J63" i="2"/>
  <c r="I63" i="2"/>
  <c r="G63" i="2"/>
  <c r="F63" i="2"/>
  <c r="M62" i="2"/>
  <c r="L62" i="2"/>
  <c r="M61" i="2"/>
  <c r="L61" i="2"/>
  <c r="K61" i="2"/>
  <c r="F61" i="2"/>
  <c r="M57" i="2"/>
  <c r="L57" i="2"/>
  <c r="J57" i="2"/>
  <c r="I57" i="2"/>
  <c r="H57" i="2"/>
  <c r="F57" i="2"/>
  <c r="M56" i="2"/>
  <c r="L56" i="2"/>
  <c r="M55" i="2"/>
  <c r="L55" i="2"/>
  <c r="K55" i="2"/>
  <c r="J55" i="2"/>
  <c r="I55" i="2"/>
  <c r="H55" i="2"/>
  <c r="G55" i="2"/>
  <c r="F55" i="2"/>
  <c r="M54" i="2"/>
  <c r="L54" i="2"/>
  <c r="M53" i="2"/>
  <c r="L53" i="2"/>
  <c r="G53" i="2"/>
  <c r="M52" i="2"/>
  <c r="L52" i="2"/>
  <c r="M48" i="2"/>
  <c r="L48" i="2"/>
  <c r="K48" i="2"/>
  <c r="J48" i="2"/>
  <c r="I48" i="2"/>
  <c r="H48" i="2"/>
  <c r="G48" i="2"/>
  <c r="F48" i="2"/>
  <c r="M47" i="2"/>
  <c r="L47" i="2"/>
  <c r="K47" i="2"/>
  <c r="J47" i="2"/>
  <c r="I47" i="2"/>
  <c r="H47" i="2"/>
  <c r="G47" i="2"/>
  <c r="M46" i="2"/>
  <c r="L46" i="2"/>
  <c r="M45" i="2"/>
  <c r="L45" i="2"/>
  <c r="K45" i="2"/>
  <c r="J45" i="2"/>
  <c r="I45" i="2"/>
  <c r="H45" i="2"/>
  <c r="G45" i="2"/>
  <c r="F45" i="2"/>
  <c r="M44" i="2"/>
  <c r="L44" i="2"/>
  <c r="K44" i="2"/>
  <c r="J44" i="2"/>
  <c r="I44" i="2"/>
  <c r="G44" i="2"/>
  <c r="M43" i="2"/>
  <c r="L43" i="2"/>
  <c r="H43" i="2"/>
  <c r="M39" i="2"/>
  <c r="L39" i="2"/>
  <c r="K39" i="2"/>
  <c r="J39" i="2"/>
  <c r="I39" i="2"/>
  <c r="H39" i="2"/>
  <c r="M38" i="2"/>
  <c r="L38" i="2"/>
  <c r="K38" i="2"/>
  <c r="J38" i="2"/>
  <c r="I38" i="2"/>
  <c r="H38" i="2"/>
  <c r="M37" i="2"/>
  <c r="L37" i="2"/>
  <c r="M36" i="2"/>
  <c r="L36" i="2"/>
  <c r="I36" i="2"/>
  <c r="M35" i="2"/>
  <c r="L35" i="2"/>
  <c r="J35" i="2"/>
  <c r="F35" i="2"/>
  <c r="M34" i="2"/>
  <c r="L34" i="2"/>
  <c r="I34" i="2"/>
  <c r="M30" i="2"/>
  <c r="L30" i="2"/>
  <c r="K30" i="2"/>
  <c r="J30" i="2"/>
  <c r="I30" i="2"/>
  <c r="H30" i="2"/>
  <c r="G30" i="2"/>
  <c r="F30" i="2"/>
  <c r="M29" i="2"/>
  <c r="L29" i="2"/>
  <c r="I29" i="2"/>
  <c r="H29" i="2"/>
  <c r="G29" i="2"/>
  <c r="M28" i="2"/>
  <c r="L28" i="2"/>
  <c r="K28" i="2"/>
  <c r="J28" i="2"/>
  <c r="I28" i="2"/>
  <c r="H28" i="2"/>
  <c r="G28" i="2"/>
  <c r="F28" i="2"/>
  <c r="M27" i="2"/>
  <c r="L27" i="2"/>
  <c r="M26" i="2"/>
  <c r="L26" i="2"/>
  <c r="H26" i="2"/>
  <c r="M25" i="2"/>
  <c r="L25" i="2"/>
  <c r="J25" i="2"/>
  <c r="H17" i="2"/>
  <c r="I17" i="2"/>
  <c r="L17" i="2"/>
  <c r="M17" i="2"/>
  <c r="F18" i="2"/>
  <c r="L18" i="2"/>
  <c r="M18" i="2"/>
  <c r="L19" i="2"/>
  <c r="M19" i="2"/>
  <c r="I20" i="2"/>
  <c r="L20" i="2"/>
  <c r="M20" i="2"/>
  <c r="L21" i="2"/>
  <c r="M21" i="2"/>
  <c r="L16" i="2"/>
  <c r="M16" i="2"/>
  <c r="D120" i="2"/>
  <c r="C120" i="2"/>
  <c r="E120" i="2" s="1"/>
  <c r="D119" i="2"/>
  <c r="C119" i="2"/>
  <c r="E119" i="2" s="1"/>
  <c r="D118" i="2"/>
  <c r="C118" i="2"/>
  <c r="E118" i="2" s="1"/>
  <c r="D117" i="2"/>
  <c r="C117" i="2"/>
  <c r="E117" i="2" s="1"/>
  <c r="D116" i="2"/>
  <c r="C116" i="2"/>
  <c r="E116" i="2" s="1"/>
  <c r="D115" i="2"/>
  <c r="C115" i="2"/>
  <c r="E115" i="2" s="1"/>
  <c r="D111" i="2"/>
  <c r="C111" i="2"/>
  <c r="E111" i="2" s="1"/>
  <c r="D110" i="2"/>
  <c r="C110" i="2"/>
  <c r="E110" i="2" s="1"/>
  <c r="D109" i="2"/>
  <c r="C109" i="2"/>
  <c r="E109" i="2" s="1"/>
  <c r="D108" i="2"/>
  <c r="C108" i="2"/>
  <c r="E108" i="2" s="1"/>
  <c r="D107" i="2"/>
  <c r="C107" i="2"/>
  <c r="E107" i="2" s="1"/>
  <c r="D106" i="2"/>
  <c r="C106" i="2"/>
  <c r="E106" i="2" s="1"/>
  <c r="D102" i="2"/>
  <c r="C102" i="2"/>
  <c r="E102" i="2" s="1"/>
  <c r="D101" i="2"/>
  <c r="C101" i="2"/>
  <c r="E101" i="2" s="1"/>
  <c r="D100" i="2"/>
  <c r="C100" i="2"/>
  <c r="E100" i="2" s="1"/>
  <c r="D99" i="2"/>
  <c r="C99" i="2"/>
  <c r="E99" i="2" s="1"/>
  <c r="D98" i="2"/>
  <c r="C98" i="2"/>
  <c r="E98" i="2" s="1"/>
  <c r="D97" i="2"/>
  <c r="C97" i="2"/>
  <c r="E97" i="2" s="1"/>
  <c r="D93" i="2"/>
  <c r="C93" i="2"/>
  <c r="E93" i="2" s="1"/>
  <c r="D92" i="2"/>
  <c r="C92" i="2"/>
  <c r="E92" i="2" s="1"/>
  <c r="D91" i="2"/>
  <c r="C91" i="2"/>
  <c r="E91" i="2" s="1"/>
  <c r="D90" i="2"/>
  <c r="C90" i="2"/>
  <c r="E90" i="2" s="1"/>
  <c r="D89" i="2"/>
  <c r="C89" i="2"/>
  <c r="E89" i="2" s="1"/>
  <c r="D88" i="2"/>
  <c r="C88" i="2"/>
  <c r="E88" i="2" s="1"/>
  <c r="D84" i="2"/>
  <c r="C84" i="2"/>
  <c r="E84" i="2" s="1"/>
  <c r="D83" i="2"/>
  <c r="C83" i="2"/>
  <c r="E83" i="2" s="1"/>
  <c r="D82" i="2"/>
  <c r="C82" i="2"/>
  <c r="E82" i="2" s="1"/>
  <c r="D81" i="2"/>
  <c r="C81" i="2"/>
  <c r="E81" i="2" s="1"/>
  <c r="D80" i="2"/>
  <c r="C80" i="2"/>
  <c r="E80" i="2" s="1"/>
  <c r="D79" i="2"/>
  <c r="C79" i="2"/>
  <c r="E79" i="2" s="1"/>
  <c r="D75" i="2"/>
  <c r="C75" i="2"/>
  <c r="E75" i="2" s="1"/>
  <c r="D74" i="2"/>
  <c r="C74" i="2"/>
  <c r="E74" i="2" s="1"/>
  <c r="D73" i="2"/>
  <c r="C73" i="2"/>
  <c r="E73" i="2" s="1"/>
  <c r="D72" i="2"/>
  <c r="C72" i="2"/>
  <c r="E72" i="2" s="1"/>
  <c r="D71" i="2"/>
  <c r="C71" i="2"/>
  <c r="E71" i="2" s="1"/>
  <c r="D70" i="2"/>
  <c r="C70" i="2"/>
  <c r="E70" i="2" s="1"/>
  <c r="D66" i="2"/>
  <c r="C66" i="2"/>
  <c r="E66" i="2" s="1"/>
  <c r="D65" i="2"/>
  <c r="C65" i="2"/>
  <c r="E65" i="2" s="1"/>
  <c r="D64" i="2"/>
  <c r="C64" i="2"/>
  <c r="E64" i="2" s="1"/>
  <c r="D63" i="2"/>
  <c r="C63" i="2"/>
  <c r="E63" i="2" s="1"/>
  <c r="D62" i="2"/>
  <c r="C62" i="2"/>
  <c r="E62" i="2" s="1"/>
  <c r="D61" i="2"/>
  <c r="C61" i="2"/>
  <c r="E61" i="2" s="1"/>
  <c r="D57" i="2"/>
  <c r="C57" i="2"/>
  <c r="E57" i="2" s="1"/>
  <c r="D56" i="2"/>
  <c r="C56" i="2"/>
  <c r="E56" i="2" s="1"/>
  <c r="D55" i="2"/>
  <c r="C55" i="2"/>
  <c r="E55" i="2" s="1"/>
  <c r="D54" i="2"/>
  <c r="C54" i="2"/>
  <c r="E54" i="2" s="1"/>
  <c r="D53" i="2"/>
  <c r="C53" i="2"/>
  <c r="E53" i="2" s="1"/>
  <c r="D52" i="2"/>
  <c r="C52" i="2"/>
  <c r="E52" i="2" s="1"/>
  <c r="D48" i="2"/>
  <c r="C48" i="2"/>
  <c r="E48" i="2" s="1"/>
  <c r="D47" i="2"/>
  <c r="C47" i="2"/>
  <c r="E47" i="2" s="1"/>
  <c r="D46" i="2"/>
  <c r="C46" i="2"/>
  <c r="E46" i="2" s="1"/>
  <c r="D45" i="2"/>
  <c r="C45" i="2"/>
  <c r="E45" i="2" s="1"/>
  <c r="D44" i="2"/>
  <c r="C44" i="2"/>
  <c r="E44" i="2" s="1"/>
  <c r="D43" i="2"/>
  <c r="C43" i="2"/>
  <c r="E43" i="2" s="1"/>
  <c r="D39" i="2"/>
  <c r="C39" i="2"/>
  <c r="E39" i="2" s="1"/>
  <c r="D38" i="2"/>
  <c r="C38" i="2"/>
  <c r="E38" i="2" s="1"/>
  <c r="D37" i="2"/>
  <c r="C37" i="2"/>
  <c r="E37" i="2" s="1"/>
  <c r="D36" i="2"/>
  <c r="C36" i="2"/>
  <c r="E36" i="2" s="1"/>
  <c r="D35" i="2"/>
  <c r="C35" i="2"/>
  <c r="E35" i="2" s="1"/>
  <c r="D34" i="2"/>
  <c r="C34" i="2"/>
  <c r="E34" i="2" s="1"/>
  <c r="D30" i="2"/>
  <c r="C30" i="2"/>
  <c r="E30" i="2" s="1"/>
  <c r="D29" i="2"/>
  <c r="C29" i="2"/>
  <c r="E29" i="2" s="1"/>
  <c r="D28" i="2"/>
  <c r="C28" i="2"/>
  <c r="E28" i="2" s="1"/>
  <c r="D27" i="2"/>
  <c r="C27" i="2"/>
  <c r="E27" i="2" s="1"/>
  <c r="D26" i="2"/>
  <c r="C26" i="2"/>
  <c r="E26" i="2" s="1"/>
  <c r="D25" i="2"/>
  <c r="C25" i="2"/>
  <c r="E25" i="2" s="1"/>
  <c r="C17" i="2"/>
  <c r="C18" i="2"/>
  <c r="C19" i="2"/>
  <c r="C20" i="2"/>
  <c r="C21" i="2"/>
  <c r="C16" i="2"/>
  <c r="F16" i="2"/>
  <c r="N27" i="4"/>
  <c r="N97" i="4"/>
  <c r="N6" i="4"/>
  <c r="N74" i="4"/>
  <c r="N88" i="4"/>
  <c r="N114" i="4"/>
  <c r="N92" i="4"/>
  <c r="N67" i="4"/>
  <c r="N94" i="4"/>
  <c r="N86" i="4"/>
  <c r="N75" i="4"/>
  <c r="N31" i="4"/>
  <c r="N76" i="4"/>
  <c r="N79" i="4"/>
  <c r="N15" i="4"/>
  <c r="N113" i="4"/>
  <c r="N111" i="4"/>
  <c r="N30" i="4"/>
  <c r="N93" i="4"/>
  <c r="N121" i="4"/>
  <c r="N116" i="4"/>
  <c r="N28" i="4"/>
  <c r="N115" i="4"/>
  <c r="N10" i="4"/>
  <c r="N7" i="4"/>
  <c r="N29" i="4"/>
  <c r="N11" i="4"/>
  <c r="N12" i="4"/>
  <c r="N32" i="4"/>
  <c r="N13" i="4"/>
  <c r="N8" i="4"/>
  <c r="O8" i="4"/>
  <c r="P8" i="4"/>
  <c r="Q8" i="4"/>
  <c r="R8" i="4"/>
  <c r="S8" i="4"/>
  <c r="T8" i="4"/>
  <c r="U8" i="4"/>
  <c r="N9" i="4"/>
  <c r="O9" i="4"/>
  <c r="P9" i="4"/>
  <c r="Q9" i="4"/>
  <c r="R9" i="4"/>
  <c r="S9" i="4"/>
  <c r="T9" i="4"/>
  <c r="U9" i="4"/>
  <c r="O10" i="4"/>
  <c r="P10" i="4"/>
  <c r="Q10" i="4"/>
  <c r="R10" i="4"/>
  <c r="S10" i="4"/>
  <c r="T10" i="4"/>
  <c r="U10" i="4"/>
  <c r="O11" i="4"/>
  <c r="P11" i="4"/>
  <c r="Q11" i="4"/>
  <c r="R11" i="4"/>
  <c r="S11" i="4"/>
  <c r="T11" i="4"/>
  <c r="U11" i="4"/>
  <c r="O12" i="4"/>
  <c r="P12" i="4"/>
  <c r="Q12" i="4"/>
  <c r="R12" i="4"/>
  <c r="S12" i="4"/>
  <c r="T12" i="4"/>
  <c r="U12" i="4"/>
  <c r="O13" i="4"/>
  <c r="P13" i="4"/>
  <c r="Q13" i="4"/>
  <c r="R13" i="4"/>
  <c r="S13" i="4"/>
  <c r="T13" i="4"/>
  <c r="U13" i="4"/>
  <c r="N14" i="4"/>
  <c r="O14" i="4"/>
  <c r="P14" i="4"/>
  <c r="Q14" i="4"/>
  <c r="R14" i="4"/>
  <c r="S14" i="4"/>
  <c r="T14" i="4"/>
  <c r="U14" i="4"/>
  <c r="O15" i="4"/>
  <c r="P15" i="4"/>
  <c r="Q15" i="4"/>
  <c r="R15" i="4"/>
  <c r="S15" i="4"/>
  <c r="T15" i="4"/>
  <c r="U15" i="4"/>
  <c r="N16" i="4"/>
  <c r="O16" i="4"/>
  <c r="P16" i="4"/>
  <c r="Q16" i="4"/>
  <c r="R16" i="4"/>
  <c r="S16" i="4"/>
  <c r="T16" i="4"/>
  <c r="U16" i="4"/>
  <c r="N17" i="4"/>
  <c r="O17" i="4"/>
  <c r="P17" i="4"/>
  <c r="Q17" i="4"/>
  <c r="R17" i="4"/>
  <c r="S17" i="4"/>
  <c r="T17" i="4"/>
  <c r="U17" i="4"/>
  <c r="N18" i="4"/>
  <c r="O18" i="4"/>
  <c r="P18" i="4"/>
  <c r="Q18" i="4"/>
  <c r="R18" i="4"/>
  <c r="S18" i="4"/>
  <c r="T18" i="4"/>
  <c r="U18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4" i="4"/>
  <c r="O24" i="4"/>
  <c r="P24" i="4"/>
  <c r="Q24" i="4"/>
  <c r="R24" i="4"/>
  <c r="S24" i="4"/>
  <c r="T24" i="4"/>
  <c r="U24" i="4"/>
  <c r="N25" i="4"/>
  <c r="O25" i="4"/>
  <c r="P25" i="4"/>
  <c r="Q25" i="4"/>
  <c r="R25" i="4"/>
  <c r="S25" i="4"/>
  <c r="T25" i="4"/>
  <c r="U25" i="4"/>
  <c r="N26" i="4"/>
  <c r="O26" i="4"/>
  <c r="P26" i="4"/>
  <c r="Q26" i="4"/>
  <c r="R26" i="4"/>
  <c r="S26" i="4"/>
  <c r="T26" i="4"/>
  <c r="U26" i="4"/>
  <c r="O27" i="4"/>
  <c r="P27" i="4"/>
  <c r="Q27" i="4"/>
  <c r="R27" i="4"/>
  <c r="S27" i="4"/>
  <c r="T27" i="4"/>
  <c r="U27" i="4"/>
  <c r="O28" i="4"/>
  <c r="P28" i="4"/>
  <c r="Q28" i="4"/>
  <c r="R28" i="4"/>
  <c r="S28" i="4"/>
  <c r="T28" i="4"/>
  <c r="U28" i="4"/>
  <c r="O29" i="4"/>
  <c r="P29" i="4"/>
  <c r="Q29" i="4"/>
  <c r="R29" i="4"/>
  <c r="S29" i="4"/>
  <c r="T29" i="4"/>
  <c r="U29" i="4"/>
  <c r="O30" i="4"/>
  <c r="P30" i="4"/>
  <c r="Q30" i="4"/>
  <c r="R30" i="4"/>
  <c r="S30" i="4"/>
  <c r="T30" i="4"/>
  <c r="U30" i="4"/>
  <c r="O31" i="4"/>
  <c r="P31" i="4"/>
  <c r="Q31" i="4"/>
  <c r="R31" i="4"/>
  <c r="S31" i="4"/>
  <c r="T31" i="4"/>
  <c r="U31" i="4"/>
  <c r="O32" i="4"/>
  <c r="P32" i="4"/>
  <c r="Q32" i="4"/>
  <c r="R32" i="4"/>
  <c r="S32" i="4"/>
  <c r="T32" i="4"/>
  <c r="U32" i="4"/>
  <c r="N33" i="4"/>
  <c r="O33" i="4"/>
  <c r="P33" i="4"/>
  <c r="Q33" i="4"/>
  <c r="R33" i="4"/>
  <c r="S33" i="4"/>
  <c r="T33" i="4"/>
  <c r="U33" i="4"/>
  <c r="N34" i="4"/>
  <c r="O34" i="4"/>
  <c r="P34" i="4"/>
  <c r="Q34" i="4"/>
  <c r="R34" i="4"/>
  <c r="S34" i="4"/>
  <c r="T34" i="4"/>
  <c r="V34" i="4"/>
  <c r="W34" i="4"/>
  <c r="X34" i="4"/>
  <c r="Y34" i="4"/>
  <c r="Z34" i="4"/>
  <c r="AA34" i="4"/>
  <c r="AB34" i="4"/>
  <c r="AC34" i="4"/>
  <c r="N35" i="4"/>
  <c r="O35" i="4"/>
  <c r="P35" i="4"/>
  <c r="Q35" i="4"/>
  <c r="R35" i="4"/>
  <c r="S35" i="4"/>
  <c r="T35" i="4"/>
  <c r="V35" i="4"/>
  <c r="W35" i="4"/>
  <c r="X35" i="4"/>
  <c r="Y35" i="4"/>
  <c r="Z35" i="4"/>
  <c r="AA35" i="4"/>
  <c r="AB35" i="4"/>
  <c r="AC35" i="4"/>
  <c r="N36" i="4"/>
  <c r="O36" i="4"/>
  <c r="P36" i="4"/>
  <c r="Q36" i="4"/>
  <c r="R36" i="4"/>
  <c r="S36" i="4"/>
  <c r="T36" i="4"/>
  <c r="V36" i="4"/>
  <c r="W36" i="4"/>
  <c r="X36" i="4"/>
  <c r="Y36" i="4"/>
  <c r="Z36" i="4"/>
  <c r="AA36" i="4"/>
  <c r="AB36" i="4"/>
  <c r="AC36" i="4"/>
  <c r="N37" i="4"/>
  <c r="O37" i="4"/>
  <c r="P37" i="4"/>
  <c r="Q37" i="4"/>
  <c r="R37" i="4"/>
  <c r="S37" i="4"/>
  <c r="T37" i="4"/>
  <c r="N66" i="4"/>
  <c r="O66" i="4"/>
  <c r="P66" i="4"/>
  <c r="Q66" i="4"/>
  <c r="R66" i="4"/>
  <c r="S66" i="4"/>
  <c r="T66" i="4"/>
  <c r="U66" i="4"/>
  <c r="O67" i="4"/>
  <c r="P67" i="4"/>
  <c r="Q67" i="4"/>
  <c r="R67" i="4"/>
  <c r="S67" i="4"/>
  <c r="T67" i="4"/>
  <c r="U67" i="4"/>
  <c r="N68" i="4"/>
  <c r="O68" i="4"/>
  <c r="P68" i="4"/>
  <c r="Q68" i="4"/>
  <c r="R68" i="4"/>
  <c r="S68" i="4"/>
  <c r="T68" i="4"/>
  <c r="U68" i="4"/>
  <c r="N69" i="4"/>
  <c r="O69" i="4"/>
  <c r="P69" i="4"/>
  <c r="Q69" i="4"/>
  <c r="R69" i="4"/>
  <c r="S69" i="4"/>
  <c r="T69" i="4"/>
  <c r="U69" i="4"/>
  <c r="N70" i="4"/>
  <c r="O70" i="4"/>
  <c r="P70" i="4"/>
  <c r="Q70" i="4"/>
  <c r="R70" i="4"/>
  <c r="S70" i="4"/>
  <c r="T70" i="4"/>
  <c r="U70" i="4"/>
  <c r="N71" i="4"/>
  <c r="O71" i="4"/>
  <c r="P71" i="4"/>
  <c r="Q71" i="4"/>
  <c r="R71" i="4"/>
  <c r="S71" i="4"/>
  <c r="T71" i="4"/>
  <c r="U71" i="4"/>
  <c r="N72" i="4"/>
  <c r="O72" i="4"/>
  <c r="P72" i="4"/>
  <c r="Q72" i="4"/>
  <c r="R72" i="4"/>
  <c r="S72" i="4"/>
  <c r="T72" i="4"/>
  <c r="U72" i="4"/>
  <c r="N73" i="4"/>
  <c r="O73" i="4"/>
  <c r="P73" i="4"/>
  <c r="Q73" i="4"/>
  <c r="R73" i="4"/>
  <c r="S73" i="4"/>
  <c r="T73" i="4"/>
  <c r="U73" i="4"/>
  <c r="O74" i="4"/>
  <c r="Q74" i="4"/>
  <c r="R74" i="4"/>
  <c r="S74" i="4"/>
  <c r="T74" i="4"/>
  <c r="U74" i="4"/>
  <c r="O75" i="4"/>
  <c r="Q75" i="4"/>
  <c r="R75" i="4"/>
  <c r="S75" i="4"/>
  <c r="T75" i="4"/>
  <c r="U75" i="4"/>
  <c r="O76" i="4"/>
  <c r="P76" i="4"/>
  <c r="Q76" i="4"/>
  <c r="R76" i="4"/>
  <c r="S76" i="4"/>
  <c r="T76" i="4"/>
  <c r="U76" i="4"/>
  <c r="N77" i="4"/>
  <c r="O77" i="4"/>
  <c r="P77" i="4"/>
  <c r="Q77" i="4"/>
  <c r="R77" i="4"/>
  <c r="S77" i="4"/>
  <c r="T77" i="4"/>
  <c r="U77" i="4"/>
  <c r="N78" i="4"/>
  <c r="O78" i="4"/>
  <c r="P78" i="4"/>
  <c r="Q78" i="4"/>
  <c r="R78" i="4"/>
  <c r="S78" i="4"/>
  <c r="T78" i="4"/>
  <c r="U78" i="4"/>
  <c r="O79" i="4"/>
  <c r="P79" i="4"/>
  <c r="Q79" i="4"/>
  <c r="R79" i="4"/>
  <c r="S79" i="4"/>
  <c r="T79" i="4"/>
  <c r="U79" i="4"/>
  <c r="N80" i="4"/>
  <c r="O80" i="4"/>
  <c r="P80" i="4"/>
  <c r="Q80" i="4"/>
  <c r="R80" i="4"/>
  <c r="S80" i="4"/>
  <c r="T80" i="4"/>
  <c r="U80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N85" i="4"/>
  <c r="O85" i="4"/>
  <c r="P85" i="4"/>
  <c r="Q85" i="4"/>
  <c r="R85" i="4"/>
  <c r="S85" i="4"/>
  <c r="T85" i="4"/>
  <c r="U85" i="4"/>
  <c r="O86" i="4"/>
  <c r="P86" i="4"/>
  <c r="Q86" i="4"/>
  <c r="R86" i="4"/>
  <c r="S86" i="4"/>
  <c r="T86" i="4"/>
  <c r="U86" i="4"/>
  <c r="N87" i="4"/>
  <c r="O87" i="4"/>
  <c r="P87" i="4"/>
  <c r="Q87" i="4"/>
  <c r="R87" i="4"/>
  <c r="S87" i="4"/>
  <c r="T87" i="4"/>
  <c r="U87" i="4"/>
  <c r="O88" i="4"/>
  <c r="P88" i="4"/>
  <c r="Q88" i="4"/>
  <c r="R88" i="4"/>
  <c r="S88" i="4"/>
  <c r="T88" i="4"/>
  <c r="U88" i="4"/>
  <c r="N89" i="4"/>
  <c r="O89" i="4"/>
  <c r="P89" i="4"/>
  <c r="Q89" i="4"/>
  <c r="R89" i="4"/>
  <c r="S89" i="4"/>
  <c r="T89" i="4"/>
  <c r="U89" i="4"/>
  <c r="N90" i="4"/>
  <c r="O90" i="4"/>
  <c r="P90" i="4"/>
  <c r="Q90" i="4"/>
  <c r="R90" i="4"/>
  <c r="S90" i="4"/>
  <c r="T90" i="4"/>
  <c r="U90" i="4"/>
  <c r="N91" i="4"/>
  <c r="O91" i="4"/>
  <c r="P91" i="4"/>
  <c r="Q91" i="4"/>
  <c r="R91" i="4"/>
  <c r="S91" i="4"/>
  <c r="T91" i="4"/>
  <c r="U91" i="4"/>
  <c r="O92" i="4"/>
  <c r="P92" i="4"/>
  <c r="Q92" i="4"/>
  <c r="R92" i="4"/>
  <c r="S92" i="4"/>
  <c r="T92" i="4"/>
  <c r="U92" i="4"/>
  <c r="O93" i="4"/>
  <c r="P93" i="4"/>
  <c r="Q93" i="4"/>
  <c r="R93" i="4"/>
  <c r="S93" i="4"/>
  <c r="T93" i="4"/>
  <c r="U93" i="4"/>
  <c r="O94" i="4"/>
  <c r="P94" i="4"/>
  <c r="Q94" i="4"/>
  <c r="R94" i="4"/>
  <c r="S94" i="4"/>
  <c r="T94" i="4"/>
  <c r="U94" i="4"/>
  <c r="N95" i="4"/>
  <c r="O95" i="4"/>
  <c r="P95" i="4"/>
  <c r="Q95" i="4"/>
  <c r="R95" i="4"/>
  <c r="S95" i="4"/>
  <c r="T95" i="4"/>
  <c r="U95" i="4"/>
  <c r="N96" i="4"/>
  <c r="O96" i="4"/>
  <c r="P96" i="4"/>
  <c r="Q96" i="4"/>
  <c r="R96" i="4"/>
  <c r="S96" i="4"/>
  <c r="T96" i="4"/>
  <c r="U96" i="4"/>
  <c r="O97" i="4"/>
  <c r="P97" i="4"/>
  <c r="Q97" i="4"/>
  <c r="R97" i="4"/>
  <c r="S97" i="4"/>
  <c r="T97" i="4"/>
  <c r="U97" i="4"/>
  <c r="O111" i="4"/>
  <c r="P111" i="4"/>
  <c r="Q111" i="4"/>
  <c r="R111" i="4"/>
  <c r="S111" i="4"/>
  <c r="T111" i="4"/>
  <c r="U111" i="4"/>
  <c r="N112" i="4"/>
  <c r="O112" i="4"/>
  <c r="P112" i="4"/>
  <c r="Q112" i="4"/>
  <c r="R112" i="4"/>
  <c r="S112" i="4"/>
  <c r="T112" i="4"/>
  <c r="U112" i="4"/>
  <c r="O113" i="4"/>
  <c r="P113" i="4"/>
  <c r="Q113" i="4"/>
  <c r="R113" i="4"/>
  <c r="S113" i="4"/>
  <c r="T113" i="4"/>
  <c r="U113" i="4"/>
  <c r="O114" i="4"/>
  <c r="P114" i="4"/>
  <c r="Q114" i="4"/>
  <c r="R114" i="4"/>
  <c r="S114" i="4"/>
  <c r="T114" i="4"/>
  <c r="U114" i="4"/>
  <c r="O115" i="4"/>
  <c r="P115" i="4"/>
  <c r="Q115" i="4"/>
  <c r="R115" i="4"/>
  <c r="S115" i="4"/>
  <c r="T115" i="4"/>
  <c r="U115" i="4"/>
  <c r="O116" i="4"/>
  <c r="P116" i="4"/>
  <c r="Q116" i="4"/>
  <c r="R116" i="4"/>
  <c r="S116" i="4"/>
  <c r="T116" i="4"/>
  <c r="U116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O121" i="4"/>
  <c r="P121" i="4"/>
  <c r="Q121" i="4"/>
  <c r="R121" i="4"/>
  <c r="S121" i="4"/>
  <c r="T121" i="4"/>
  <c r="U121" i="4"/>
  <c r="N122" i="4"/>
  <c r="O122" i="4"/>
  <c r="P122" i="4"/>
  <c r="Q122" i="4"/>
  <c r="R122" i="4"/>
  <c r="S122" i="4"/>
  <c r="T122" i="4"/>
  <c r="U122" i="4"/>
  <c r="N123" i="4"/>
  <c r="O123" i="4"/>
  <c r="P123" i="4"/>
  <c r="Q123" i="4"/>
  <c r="R123" i="4"/>
  <c r="S123" i="4"/>
  <c r="T123" i="4"/>
  <c r="U123" i="4"/>
  <c r="N124" i="4"/>
  <c r="O124" i="4"/>
  <c r="P124" i="4"/>
  <c r="Q124" i="4"/>
  <c r="R124" i="4"/>
  <c r="S124" i="4"/>
  <c r="T124" i="4"/>
  <c r="U124" i="4"/>
  <c r="N125" i="4"/>
  <c r="O125" i="4"/>
  <c r="P125" i="4"/>
  <c r="Q125" i="4"/>
  <c r="R125" i="4"/>
  <c r="S125" i="4"/>
  <c r="T125" i="4"/>
  <c r="U125" i="4"/>
  <c r="N126" i="4"/>
  <c r="O126" i="4"/>
  <c r="P126" i="4"/>
  <c r="Q126" i="4"/>
  <c r="R126" i="4"/>
  <c r="S126" i="4"/>
  <c r="T126" i="4"/>
  <c r="U126" i="4"/>
  <c r="N127" i="4"/>
  <c r="O127" i="4"/>
  <c r="P127" i="4"/>
  <c r="Q127" i="4"/>
  <c r="R127" i="4"/>
  <c r="S127" i="4"/>
  <c r="T127" i="4"/>
  <c r="U127" i="4"/>
  <c r="N128" i="4"/>
  <c r="O128" i="4"/>
  <c r="P128" i="4"/>
  <c r="Q128" i="4"/>
  <c r="R128" i="4"/>
  <c r="S128" i="4"/>
  <c r="T128" i="4"/>
  <c r="U128" i="4"/>
  <c r="N129" i="4"/>
  <c r="O129" i="4"/>
  <c r="P129" i="4"/>
  <c r="Q129" i="4"/>
  <c r="R129" i="4"/>
  <c r="S129" i="4"/>
  <c r="T129" i="4"/>
  <c r="U129" i="4"/>
  <c r="N130" i="4"/>
  <c r="O130" i="4"/>
  <c r="P130" i="4"/>
  <c r="Q130" i="4"/>
  <c r="R130" i="4"/>
  <c r="S130" i="4"/>
  <c r="T130" i="4"/>
  <c r="U130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H6" i="4"/>
  <c r="A103" i="4" s="1"/>
  <c r="G8" i="4"/>
  <c r="H8" i="4"/>
  <c r="K8" i="4"/>
  <c r="L8" i="4"/>
  <c r="M8" i="4"/>
  <c r="G9" i="4"/>
  <c r="H9" i="4"/>
  <c r="K9" i="4"/>
  <c r="L9" i="4"/>
  <c r="M9" i="4"/>
  <c r="G10" i="4"/>
  <c r="H10" i="4"/>
  <c r="K10" i="4"/>
  <c r="L10" i="4"/>
  <c r="M10" i="4"/>
  <c r="G11" i="4"/>
  <c r="H11" i="4"/>
  <c r="K11" i="4"/>
  <c r="L11" i="4"/>
  <c r="M11" i="4"/>
  <c r="G12" i="4"/>
  <c r="H12" i="4"/>
  <c r="K12" i="4"/>
  <c r="L12" i="4"/>
  <c r="M12" i="4"/>
  <c r="G13" i="4"/>
  <c r="H13" i="4"/>
  <c r="K13" i="4"/>
  <c r="L13" i="4"/>
  <c r="M13" i="4"/>
  <c r="G14" i="4"/>
  <c r="H14" i="4"/>
  <c r="K14" i="4"/>
  <c r="L14" i="4"/>
  <c r="M14" i="4"/>
  <c r="G15" i="4"/>
  <c r="H15" i="4"/>
  <c r="K15" i="4"/>
  <c r="L15" i="4"/>
  <c r="M15" i="4"/>
  <c r="G16" i="4"/>
  <c r="H16" i="4"/>
  <c r="K16" i="4"/>
  <c r="L16" i="4"/>
  <c r="M16" i="4"/>
  <c r="G17" i="4"/>
  <c r="H17" i="4"/>
  <c r="K17" i="4"/>
  <c r="L17" i="4"/>
  <c r="M17" i="4"/>
  <c r="G18" i="4"/>
  <c r="H18" i="4"/>
  <c r="K18" i="4"/>
  <c r="L18" i="4"/>
  <c r="M18" i="4"/>
  <c r="G19" i="4"/>
  <c r="H19" i="4"/>
  <c r="K19" i="4"/>
  <c r="L19" i="4"/>
  <c r="M19" i="4"/>
  <c r="G20" i="4"/>
  <c r="H20" i="4"/>
  <c r="K20" i="4"/>
  <c r="L20" i="4"/>
  <c r="M20" i="4"/>
  <c r="G21" i="4"/>
  <c r="H21" i="4"/>
  <c r="K21" i="4"/>
  <c r="L21" i="4"/>
  <c r="M21" i="4"/>
  <c r="G22" i="4"/>
  <c r="H22" i="4"/>
  <c r="K22" i="4"/>
  <c r="L22" i="4"/>
  <c r="M22" i="4"/>
  <c r="G23" i="4"/>
  <c r="H23" i="4"/>
  <c r="K23" i="4"/>
  <c r="L23" i="4"/>
  <c r="M23" i="4"/>
  <c r="G24" i="4"/>
  <c r="H24" i="4"/>
  <c r="K24" i="4"/>
  <c r="L24" i="4"/>
  <c r="M24" i="4"/>
  <c r="G25" i="4"/>
  <c r="H25" i="4"/>
  <c r="K25" i="4"/>
  <c r="L25" i="4"/>
  <c r="M25" i="4"/>
  <c r="G26" i="4"/>
  <c r="H26" i="4"/>
  <c r="K26" i="4"/>
  <c r="L26" i="4"/>
  <c r="M26" i="4"/>
  <c r="G27" i="4"/>
  <c r="H27" i="4"/>
  <c r="K27" i="4"/>
  <c r="L27" i="4"/>
  <c r="M27" i="4"/>
  <c r="G28" i="4"/>
  <c r="H28" i="4"/>
  <c r="K28" i="4"/>
  <c r="L28" i="4"/>
  <c r="M28" i="4"/>
  <c r="G29" i="4"/>
  <c r="H29" i="4"/>
  <c r="K29" i="4"/>
  <c r="L29" i="4"/>
  <c r="M29" i="4"/>
  <c r="G30" i="4"/>
  <c r="H30" i="4"/>
  <c r="K30" i="4"/>
  <c r="L30" i="4"/>
  <c r="M30" i="4"/>
  <c r="G31" i="4"/>
  <c r="H31" i="4"/>
  <c r="K31" i="4"/>
  <c r="L31" i="4"/>
  <c r="M31" i="4"/>
  <c r="G32" i="4"/>
  <c r="H32" i="4"/>
  <c r="K32" i="4"/>
  <c r="L32" i="4"/>
  <c r="M32" i="4"/>
  <c r="G33" i="4"/>
  <c r="H33" i="4"/>
  <c r="K33" i="4"/>
  <c r="L33" i="4"/>
  <c r="M33" i="4"/>
  <c r="G34" i="4"/>
  <c r="H34" i="4"/>
  <c r="K34" i="4"/>
  <c r="L34" i="4"/>
  <c r="M34" i="4"/>
  <c r="G35" i="4"/>
  <c r="H35" i="4"/>
  <c r="K35" i="4"/>
  <c r="L35" i="4"/>
  <c r="M35" i="4"/>
  <c r="G36" i="4"/>
  <c r="H36" i="4"/>
  <c r="K36" i="4"/>
  <c r="L36" i="4"/>
  <c r="M36" i="4"/>
  <c r="G37" i="4"/>
  <c r="H37" i="4"/>
  <c r="K37" i="4"/>
  <c r="L37" i="4"/>
  <c r="M37" i="4"/>
  <c r="G38" i="4"/>
  <c r="H38" i="4"/>
  <c r="K38" i="4"/>
  <c r="L38" i="4"/>
  <c r="M38" i="4"/>
  <c r="G39" i="4"/>
  <c r="H39" i="4"/>
  <c r="K39" i="4"/>
  <c r="L39" i="4"/>
  <c r="M39" i="4"/>
  <c r="G40" i="4"/>
  <c r="H40" i="4"/>
  <c r="K40" i="4"/>
  <c r="L40" i="4"/>
  <c r="M40" i="4"/>
  <c r="G41" i="4"/>
  <c r="H41" i="4"/>
  <c r="K41" i="4"/>
  <c r="L41" i="4"/>
  <c r="M41" i="4"/>
  <c r="G42" i="4"/>
  <c r="H42" i="4"/>
  <c r="K42" i="4"/>
  <c r="L42" i="4"/>
  <c r="M42" i="4"/>
  <c r="G43" i="4"/>
  <c r="H43" i="4"/>
  <c r="K43" i="4"/>
  <c r="L43" i="4"/>
  <c r="M43" i="4"/>
  <c r="G44" i="4"/>
  <c r="H44" i="4"/>
  <c r="K44" i="4"/>
  <c r="L44" i="4"/>
  <c r="M44" i="4"/>
  <c r="G45" i="4"/>
  <c r="H45" i="4"/>
  <c r="K45" i="4"/>
  <c r="L45" i="4"/>
  <c r="M45" i="4"/>
  <c r="G46" i="4"/>
  <c r="H46" i="4"/>
  <c r="K46" i="4"/>
  <c r="L46" i="4"/>
  <c r="M46" i="4"/>
  <c r="G47" i="4"/>
  <c r="H47" i="4"/>
  <c r="K47" i="4"/>
  <c r="L47" i="4"/>
  <c r="M47" i="4"/>
  <c r="G48" i="4"/>
  <c r="H48" i="4"/>
  <c r="K48" i="4"/>
  <c r="L48" i="4"/>
  <c r="M48" i="4"/>
  <c r="G49" i="4"/>
  <c r="H49" i="4"/>
  <c r="K49" i="4"/>
  <c r="L49" i="4"/>
  <c r="M49" i="4"/>
  <c r="G50" i="4"/>
  <c r="H50" i="4"/>
  <c r="K50" i="4"/>
  <c r="L50" i="4"/>
  <c r="M50" i="4"/>
  <c r="G51" i="4"/>
  <c r="H51" i="4"/>
  <c r="K51" i="4"/>
  <c r="L51" i="4"/>
  <c r="M51" i="4"/>
  <c r="G52" i="4"/>
  <c r="H52" i="4"/>
  <c r="K52" i="4"/>
  <c r="L52" i="4"/>
  <c r="M52" i="4"/>
  <c r="G53" i="4"/>
  <c r="H53" i="4"/>
  <c r="K53" i="4"/>
  <c r="L53" i="4"/>
  <c r="M53" i="4"/>
  <c r="G54" i="4"/>
  <c r="H54" i="4"/>
  <c r="K54" i="4"/>
  <c r="L54" i="4"/>
  <c r="M54" i="4"/>
  <c r="G55" i="4"/>
  <c r="H55" i="4"/>
  <c r="K55" i="4"/>
  <c r="L55" i="4"/>
  <c r="M55" i="4"/>
  <c r="G56" i="4"/>
  <c r="H56" i="4"/>
  <c r="K56" i="4"/>
  <c r="L56" i="4"/>
  <c r="M56" i="4"/>
  <c r="G57" i="4"/>
  <c r="H57" i="4"/>
  <c r="K57" i="4"/>
  <c r="L57" i="4"/>
  <c r="M57" i="4"/>
  <c r="G58" i="4"/>
  <c r="H58" i="4"/>
  <c r="K58" i="4"/>
  <c r="L58" i="4"/>
  <c r="M58" i="4"/>
  <c r="G59" i="4"/>
  <c r="H59" i="4"/>
  <c r="K59" i="4"/>
  <c r="L59" i="4"/>
  <c r="M59" i="4"/>
  <c r="G60" i="4"/>
  <c r="H60" i="4"/>
  <c r="K60" i="4"/>
  <c r="L60" i="4"/>
  <c r="M60" i="4"/>
  <c r="G61" i="4"/>
  <c r="H61" i="4"/>
  <c r="K61" i="4"/>
  <c r="L61" i="4"/>
  <c r="M61" i="4"/>
  <c r="G62" i="4"/>
  <c r="H62" i="4"/>
  <c r="K62" i="4"/>
  <c r="L62" i="4"/>
  <c r="M62" i="4"/>
  <c r="G63" i="4"/>
  <c r="H63" i="4"/>
  <c r="K63" i="4"/>
  <c r="L63" i="4"/>
  <c r="M63" i="4"/>
  <c r="G64" i="4"/>
  <c r="H64" i="4"/>
  <c r="K64" i="4"/>
  <c r="L64" i="4"/>
  <c r="M64" i="4"/>
  <c r="G65" i="4"/>
  <c r="H65" i="4"/>
  <c r="K65" i="4"/>
  <c r="L65" i="4"/>
  <c r="M65" i="4"/>
  <c r="G66" i="4"/>
  <c r="H66" i="4"/>
  <c r="K66" i="4"/>
  <c r="L66" i="4"/>
  <c r="M66" i="4"/>
  <c r="G67" i="4"/>
  <c r="H67" i="4"/>
  <c r="K67" i="4"/>
  <c r="L67" i="4"/>
  <c r="M67" i="4"/>
  <c r="G68" i="4"/>
  <c r="H68" i="4"/>
  <c r="K68" i="4"/>
  <c r="L68" i="4"/>
  <c r="M68" i="4"/>
  <c r="G69" i="4"/>
  <c r="H69" i="4"/>
  <c r="K69" i="4"/>
  <c r="L69" i="4"/>
  <c r="M69" i="4"/>
  <c r="G70" i="4"/>
  <c r="H70" i="4"/>
  <c r="K70" i="4"/>
  <c r="L70" i="4"/>
  <c r="M70" i="4"/>
  <c r="G71" i="4"/>
  <c r="H71" i="4"/>
  <c r="K71" i="4"/>
  <c r="L71" i="4"/>
  <c r="M71" i="4"/>
  <c r="G72" i="4"/>
  <c r="H72" i="4"/>
  <c r="K72" i="4"/>
  <c r="L72" i="4"/>
  <c r="M72" i="4"/>
  <c r="G73" i="4"/>
  <c r="H73" i="4"/>
  <c r="K73" i="4"/>
  <c r="L73" i="4"/>
  <c r="M73" i="4"/>
  <c r="G74" i="4"/>
  <c r="H74" i="4"/>
  <c r="K74" i="4"/>
  <c r="L74" i="4"/>
  <c r="M74" i="4"/>
  <c r="G75" i="4"/>
  <c r="H75" i="4"/>
  <c r="K75" i="4"/>
  <c r="L75" i="4"/>
  <c r="M75" i="4"/>
  <c r="G76" i="4"/>
  <c r="H76" i="4"/>
  <c r="K76" i="4"/>
  <c r="L76" i="4"/>
  <c r="M76" i="4"/>
  <c r="G77" i="4"/>
  <c r="H77" i="4"/>
  <c r="K77" i="4"/>
  <c r="L77" i="4"/>
  <c r="M77" i="4"/>
  <c r="G78" i="4"/>
  <c r="H78" i="4"/>
  <c r="K78" i="4"/>
  <c r="L78" i="4"/>
  <c r="M78" i="4"/>
  <c r="G79" i="4"/>
  <c r="H79" i="4"/>
  <c r="K79" i="4"/>
  <c r="L79" i="4"/>
  <c r="M79" i="4"/>
  <c r="G80" i="4"/>
  <c r="H80" i="4"/>
  <c r="K80" i="4"/>
  <c r="L80" i="4"/>
  <c r="M80" i="4"/>
  <c r="G81" i="4"/>
  <c r="H81" i="4"/>
  <c r="K81" i="4"/>
  <c r="L81" i="4"/>
  <c r="M81" i="4"/>
  <c r="G82" i="4"/>
  <c r="H82" i="4"/>
  <c r="K82" i="4"/>
  <c r="L82" i="4"/>
  <c r="M82" i="4"/>
  <c r="G83" i="4"/>
  <c r="H83" i="4"/>
  <c r="K83" i="4"/>
  <c r="L83" i="4"/>
  <c r="M83" i="4"/>
  <c r="G84" i="4"/>
  <c r="H84" i="4"/>
  <c r="K84" i="4"/>
  <c r="L84" i="4"/>
  <c r="M84" i="4"/>
  <c r="G85" i="4"/>
  <c r="H85" i="4"/>
  <c r="K85" i="4"/>
  <c r="L85" i="4"/>
  <c r="M85" i="4"/>
  <c r="G86" i="4"/>
  <c r="H86" i="4"/>
  <c r="K86" i="4"/>
  <c r="L86" i="4"/>
  <c r="M86" i="4"/>
  <c r="G87" i="4"/>
  <c r="H87" i="4"/>
  <c r="K87" i="4"/>
  <c r="L87" i="4"/>
  <c r="M87" i="4"/>
  <c r="G88" i="4"/>
  <c r="H88" i="4"/>
  <c r="K88" i="4"/>
  <c r="L88" i="4"/>
  <c r="M88" i="4"/>
  <c r="G89" i="4"/>
  <c r="H89" i="4"/>
  <c r="K89" i="4"/>
  <c r="L89" i="4"/>
  <c r="M89" i="4"/>
  <c r="G90" i="4"/>
  <c r="H90" i="4"/>
  <c r="K90" i="4"/>
  <c r="L90" i="4"/>
  <c r="M90" i="4"/>
  <c r="G91" i="4"/>
  <c r="H91" i="4"/>
  <c r="K91" i="4"/>
  <c r="L91" i="4"/>
  <c r="M91" i="4"/>
  <c r="G92" i="4"/>
  <c r="H92" i="4"/>
  <c r="K92" i="4"/>
  <c r="L92" i="4"/>
  <c r="M92" i="4"/>
  <c r="G93" i="4"/>
  <c r="H93" i="4"/>
  <c r="K93" i="4"/>
  <c r="L93" i="4"/>
  <c r="M93" i="4"/>
  <c r="G94" i="4"/>
  <c r="H94" i="4"/>
  <c r="K94" i="4"/>
  <c r="L94" i="4"/>
  <c r="M94" i="4"/>
  <c r="G95" i="4"/>
  <c r="H95" i="4"/>
  <c r="K95" i="4"/>
  <c r="L95" i="4"/>
  <c r="M95" i="4"/>
  <c r="G96" i="4"/>
  <c r="H96" i="4"/>
  <c r="K96" i="4"/>
  <c r="L96" i="4"/>
  <c r="M96" i="4"/>
  <c r="G97" i="4"/>
  <c r="H97" i="4"/>
  <c r="K97" i="4"/>
  <c r="L97" i="4"/>
  <c r="M97" i="4"/>
  <c r="G98" i="4"/>
  <c r="H98" i="4"/>
  <c r="K98" i="4"/>
  <c r="L98" i="4"/>
  <c r="M98" i="4"/>
  <c r="G99" i="4"/>
  <c r="H99" i="4"/>
  <c r="K99" i="4"/>
  <c r="L99" i="4"/>
  <c r="M99" i="4"/>
  <c r="G100" i="4"/>
  <c r="H100" i="4"/>
  <c r="K100" i="4"/>
  <c r="L100" i="4"/>
  <c r="M100" i="4"/>
  <c r="G101" i="4"/>
  <c r="H101" i="4"/>
  <c r="K101" i="4"/>
  <c r="L101" i="4"/>
  <c r="M101" i="4"/>
  <c r="G102" i="4"/>
  <c r="H102" i="4"/>
  <c r="K102" i="4"/>
  <c r="L102" i="4"/>
  <c r="M102" i="4"/>
  <c r="G105" i="4"/>
  <c r="H105" i="4"/>
  <c r="K105" i="4"/>
  <c r="L105" i="4"/>
  <c r="M105" i="4"/>
  <c r="G110" i="4"/>
  <c r="H110" i="4"/>
  <c r="K110" i="4"/>
  <c r="L110" i="4"/>
  <c r="M110" i="4"/>
  <c r="G111" i="4"/>
  <c r="H111" i="4"/>
  <c r="K111" i="4"/>
  <c r="L111" i="4"/>
  <c r="M111" i="4"/>
  <c r="G112" i="4"/>
  <c r="H112" i="4"/>
  <c r="K112" i="4"/>
  <c r="L112" i="4"/>
  <c r="M112" i="4"/>
  <c r="G113" i="4"/>
  <c r="H113" i="4"/>
  <c r="K113" i="4"/>
  <c r="L113" i="4"/>
  <c r="M113" i="4"/>
  <c r="G114" i="4"/>
  <c r="H114" i="4"/>
  <c r="K114" i="4"/>
  <c r="L114" i="4"/>
  <c r="M114" i="4"/>
  <c r="G115" i="4"/>
  <c r="H115" i="4"/>
  <c r="K115" i="4"/>
  <c r="L115" i="4"/>
  <c r="M115" i="4"/>
  <c r="G116" i="4"/>
  <c r="H116" i="4"/>
  <c r="K116" i="4"/>
  <c r="L116" i="4"/>
  <c r="M116" i="4"/>
  <c r="G117" i="4"/>
  <c r="H117" i="4"/>
  <c r="K117" i="4"/>
  <c r="L117" i="4"/>
  <c r="M117" i="4"/>
  <c r="G118" i="4"/>
  <c r="H118" i="4"/>
  <c r="K118" i="4"/>
  <c r="L118" i="4"/>
  <c r="M118" i="4"/>
  <c r="G119" i="4"/>
  <c r="H119" i="4"/>
  <c r="K119" i="4"/>
  <c r="L119" i="4"/>
  <c r="M119" i="4"/>
  <c r="G120" i="4"/>
  <c r="H120" i="4"/>
  <c r="K120" i="4"/>
  <c r="L120" i="4"/>
  <c r="M120" i="4"/>
  <c r="G121" i="4"/>
  <c r="H121" i="4"/>
  <c r="K121" i="4"/>
  <c r="M121" i="4"/>
  <c r="G122" i="4"/>
  <c r="H122" i="4"/>
  <c r="K122" i="4"/>
  <c r="L122" i="4"/>
  <c r="M122" i="4"/>
  <c r="G123" i="4"/>
  <c r="H123" i="4"/>
  <c r="K123" i="4"/>
  <c r="L123" i="4"/>
  <c r="M123" i="4"/>
  <c r="G124" i="4"/>
  <c r="H124" i="4"/>
  <c r="K124" i="4"/>
  <c r="L124" i="4"/>
  <c r="M124" i="4"/>
  <c r="G125" i="4"/>
  <c r="H125" i="4"/>
  <c r="K125" i="4"/>
  <c r="L125" i="4"/>
  <c r="M125" i="4"/>
  <c r="G126" i="4"/>
  <c r="H126" i="4"/>
  <c r="K126" i="4"/>
  <c r="L126" i="4"/>
  <c r="M126" i="4"/>
  <c r="G127" i="4"/>
  <c r="H127" i="4"/>
  <c r="K127" i="4"/>
  <c r="L127" i="4"/>
  <c r="M127" i="4"/>
  <c r="G128" i="4"/>
  <c r="H128" i="4"/>
  <c r="K128" i="4"/>
  <c r="L128" i="4"/>
  <c r="M128" i="4"/>
  <c r="G129" i="4"/>
  <c r="H129" i="4"/>
  <c r="K129" i="4"/>
  <c r="L129" i="4"/>
  <c r="M129" i="4"/>
  <c r="G130" i="4"/>
  <c r="H130" i="4"/>
  <c r="K130" i="4"/>
  <c r="L130" i="4"/>
  <c r="M130" i="4"/>
  <c r="G131" i="4"/>
  <c r="H131" i="4"/>
  <c r="K131" i="4"/>
  <c r="L131" i="4"/>
  <c r="M131" i="4"/>
  <c r="G132" i="4"/>
  <c r="H132" i="4"/>
  <c r="K132" i="4"/>
  <c r="L132" i="4"/>
  <c r="M132" i="4"/>
  <c r="G133" i="4"/>
  <c r="H133" i="4"/>
  <c r="K133" i="4"/>
  <c r="L133" i="4"/>
  <c r="M133" i="4"/>
  <c r="G134" i="4"/>
  <c r="H134" i="4"/>
  <c r="K134" i="4"/>
  <c r="L134" i="4"/>
  <c r="M134" i="4"/>
  <c r="G135" i="4"/>
  <c r="H135" i="4"/>
  <c r="K135" i="4"/>
  <c r="L135" i="4"/>
  <c r="M135" i="4"/>
  <c r="G136" i="4"/>
  <c r="H136" i="4"/>
  <c r="K136" i="4"/>
  <c r="L136" i="4"/>
  <c r="M136" i="4"/>
  <c r="G137" i="4"/>
  <c r="H137" i="4"/>
  <c r="K137" i="4"/>
  <c r="L137" i="4"/>
  <c r="M137" i="4"/>
  <c r="G138" i="4"/>
  <c r="H138" i="4"/>
  <c r="K138" i="4"/>
  <c r="L138" i="4"/>
  <c r="M138" i="4"/>
  <c r="G139" i="4"/>
  <c r="H139" i="4"/>
  <c r="K139" i="4"/>
  <c r="L139" i="4"/>
  <c r="M139" i="4"/>
  <c r="G140" i="4"/>
  <c r="H140" i="4"/>
  <c r="K140" i="4"/>
  <c r="L140" i="4"/>
  <c r="M140" i="4"/>
  <c r="G141" i="4"/>
  <c r="H141" i="4"/>
  <c r="K141" i="4"/>
  <c r="L141" i="4"/>
  <c r="M141" i="4"/>
  <c r="G7" i="4"/>
  <c r="H7" i="4"/>
  <c r="K7" i="4"/>
  <c r="L7" i="4"/>
  <c r="M7" i="4"/>
  <c r="M6" i="4"/>
  <c r="L6" i="4"/>
  <c r="K6" i="4"/>
  <c r="G6" i="4"/>
  <c r="N141" i="4"/>
  <c r="O141" i="4"/>
  <c r="P141" i="4"/>
  <c r="Q141" i="4"/>
  <c r="R141" i="4"/>
  <c r="S141" i="4"/>
  <c r="T141" i="4"/>
  <c r="U141" i="4"/>
  <c r="O7" i="4"/>
  <c r="P7" i="4"/>
  <c r="Q7" i="4"/>
  <c r="R7" i="4"/>
  <c r="S7" i="4"/>
  <c r="T7" i="4"/>
  <c r="U7" i="4"/>
  <c r="U6" i="4"/>
  <c r="T6" i="4"/>
  <c r="S6" i="4"/>
  <c r="R6" i="4"/>
  <c r="Q6" i="4"/>
  <c r="P6" i="4"/>
  <c r="H25" i="2" s="1"/>
  <c r="O6" i="4"/>
  <c r="K57" i="2" l="1"/>
  <c r="K26" i="2"/>
  <c r="K71" i="2"/>
  <c r="K35" i="2"/>
  <c r="K53" i="2"/>
  <c r="K56" i="2"/>
  <c r="K34" i="2"/>
  <c r="K46" i="2"/>
  <c r="K37" i="2"/>
  <c r="K54" i="2"/>
  <c r="K52" i="2"/>
  <c r="K43" i="2"/>
  <c r="K36" i="2"/>
  <c r="K66" i="2"/>
  <c r="K65" i="2"/>
  <c r="K73" i="2"/>
  <c r="K29" i="2"/>
  <c r="K25" i="2"/>
  <c r="K70" i="2"/>
  <c r="K27" i="2"/>
  <c r="K62" i="2"/>
  <c r="AP109" i="4"/>
  <c r="AV109" i="4"/>
  <c r="AM109" i="4"/>
  <c r="AQ109" i="4"/>
  <c r="AN109" i="4"/>
  <c r="AO109" i="4"/>
  <c r="AV104" i="4"/>
  <c r="AV107" i="4"/>
  <c r="AN107" i="4"/>
  <c r="AO107" i="4"/>
  <c r="AP107" i="4"/>
  <c r="AM107" i="4"/>
  <c r="AQ107" i="4"/>
  <c r="AV106" i="4"/>
  <c r="AV108" i="4"/>
  <c r="AM108" i="4"/>
  <c r="AQ108" i="4"/>
  <c r="AN108" i="4"/>
  <c r="AO108" i="4"/>
  <c r="AP108" i="4"/>
  <c r="AS108" i="4"/>
  <c r="AT108" i="4"/>
  <c r="AU108" i="4"/>
  <c r="AS106" i="4"/>
  <c r="AT106" i="4"/>
  <c r="AS109" i="4"/>
  <c r="AT109" i="4"/>
  <c r="AU109" i="4"/>
  <c r="AS107" i="4"/>
  <c r="AT107" i="4"/>
  <c r="AU107" i="4"/>
  <c r="J108" i="4"/>
  <c r="AI108" i="4"/>
  <c r="AH108" i="4"/>
  <c r="AI104" i="4"/>
  <c r="AH104" i="4"/>
  <c r="AI106" i="4"/>
  <c r="AH106" i="4"/>
  <c r="AF109" i="4" a="1"/>
  <c r="AF109" i="4" s="1"/>
  <c r="I109" i="4" s="1"/>
  <c r="AH109" i="4"/>
  <c r="AI109" i="4"/>
  <c r="AH107" i="4"/>
  <c r="AI107" i="4"/>
  <c r="J61" i="2"/>
  <c r="J53" i="2"/>
  <c r="J56" i="2"/>
  <c r="J34" i="2"/>
  <c r="J46" i="2"/>
  <c r="J37" i="2"/>
  <c r="J54" i="2"/>
  <c r="J26" i="2"/>
  <c r="J43" i="2"/>
  <c r="J52" i="2"/>
  <c r="J66" i="2"/>
  <c r="J36" i="2"/>
  <c r="J71" i="2"/>
  <c r="J65" i="2"/>
  <c r="J73" i="2"/>
  <c r="J29" i="2"/>
  <c r="J70" i="2"/>
  <c r="J27" i="2"/>
  <c r="J109" i="4"/>
  <c r="AF108" i="4" a="1"/>
  <c r="AF108" i="4" s="1"/>
  <c r="I108" i="4" s="1"/>
  <c r="J106" i="4"/>
  <c r="J62" i="2"/>
  <c r="J104" i="4"/>
  <c r="I61" i="2"/>
  <c r="I35" i="2"/>
  <c r="I56" i="2"/>
  <c r="I53" i="2"/>
  <c r="I46" i="2"/>
  <c r="I37" i="2"/>
  <c r="I54" i="2"/>
  <c r="I26" i="2"/>
  <c r="I52" i="2"/>
  <c r="I43" i="2"/>
  <c r="I66" i="2"/>
  <c r="I65" i="2"/>
  <c r="I72" i="2"/>
  <c r="I73" i="2"/>
  <c r="I70" i="2"/>
  <c r="I25" i="2"/>
  <c r="I27" i="2"/>
  <c r="I62" i="2"/>
  <c r="H44" i="2"/>
  <c r="H64" i="2"/>
  <c r="H63" i="2"/>
  <c r="H46" i="2"/>
  <c r="H65" i="2"/>
  <c r="H66" i="2"/>
  <c r="H61" i="2"/>
  <c r="H74" i="2"/>
  <c r="H27" i="2"/>
  <c r="H54" i="2"/>
  <c r="H36" i="2"/>
  <c r="H56" i="2"/>
  <c r="H37" i="2"/>
  <c r="H34" i="2"/>
  <c r="H35" i="2"/>
  <c r="H52" i="2"/>
  <c r="H53" i="2"/>
  <c r="AG45" i="4"/>
  <c r="AG49" i="4"/>
  <c r="AG30" i="4"/>
  <c r="AG132" i="4"/>
  <c r="AG83" i="4"/>
  <c r="AG71" i="4"/>
  <c r="AG138" i="4"/>
  <c r="G36" i="2"/>
  <c r="AG112" i="4"/>
  <c r="AG22" i="4"/>
  <c r="F36" i="2"/>
  <c r="AG84" i="4"/>
  <c r="AG62" i="4"/>
  <c r="AG111" i="4"/>
  <c r="AG23" i="4"/>
  <c r="AG61" i="4"/>
  <c r="AG73" i="4"/>
  <c r="AG135" i="4"/>
  <c r="AG130" i="4"/>
  <c r="AG127" i="4"/>
  <c r="AG124" i="4"/>
  <c r="AG97" i="4"/>
  <c r="AG60" i="4"/>
  <c r="AG116" i="4"/>
  <c r="AG86" i="4"/>
  <c r="AG25" i="4"/>
  <c r="AG12" i="4"/>
  <c r="AG14" i="4"/>
  <c r="AG128" i="4"/>
  <c r="AG93" i="4"/>
  <c r="AG42" i="4"/>
  <c r="AG10" i="4"/>
  <c r="AG11" i="4"/>
  <c r="AG140" i="4"/>
  <c r="AG122" i="4"/>
  <c r="AG114" i="4"/>
  <c r="AG115" i="4"/>
  <c r="AG98" i="4"/>
  <c r="AG90" i="4"/>
  <c r="AG85" i="4"/>
  <c r="AG82" i="4"/>
  <c r="AG69" i="4"/>
  <c r="AG120" i="4"/>
  <c r="AG137" i="4"/>
  <c r="AG134" i="4"/>
  <c r="AG131" i="4"/>
  <c r="AG125" i="4"/>
  <c r="AG95" i="4"/>
  <c r="AG87" i="4"/>
  <c r="AG59" i="4"/>
  <c r="AG126" i="4"/>
  <c r="AG113" i="4"/>
  <c r="AG81" i="4"/>
  <c r="AG72" i="4"/>
  <c r="AG70" i="4"/>
  <c r="AG66" i="4"/>
  <c r="AG56" i="4"/>
  <c r="AG53" i="4"/>
  <c r="AG50" i="4"/>
  <c r="AG48" i="4"/>
  <c r="AG47" i="4"/>
  <c r="AG44" i="4"/>
  <c r="AG41" i="4"/>
  <c r="AG38" i="4"/>
  <c r="AG36" i="4"/>
  <c r="AG33" i="4"/>
  <c r="AG26" i="4"/>
  <c r="AG21" i="4"/>
  <c r="AG18" i="4"/>
  <c r="AG29" i="4"/>
  <c r="AG139" i="4"/>
  <c r="AG136" i="4"/>
  <c r="AG123" i="4"/>
  <c r="AG96" i="4"/>
  <c r="AG78" i="4"/>
  <c r="AG57" i="4"/>
  <c r="AG54" i="4"/>
  <c r="AG35" i="4"/>
  <c r="AG24" i="4"/>
  <c r="AG74" i="4"/>
  <c r="AG58" i="4"/>
  <c r="AG102" i="4"/>
  <c r="AG89" i="4"/>
  <c r="AG55" i="4"/>
  <c r="AG52" i="4"/>
  <c r="AG46" i="4"/>
  <c r="AG40" i="4"/>
  <c r="AG37" i="4"/>
  <c r="AG34" i="4"/>
  <c r="AG9" i="4"/>
  <c r="AG13" i="4"/>
  <c r="AG121" i="4"/>
  <c r="AG94" i="4"/>
  <c r="AG101" i="4"/>
  <c r="AG119" i="4"/>
  <c r="AG80" i="4"/>
  <c r="AG7" i="4"/>
  <c r="AG15" i="4"/>
  <c r="AG129" i="4"/>
  <c r="AG91" i="4"/>
  <c r="AG51" i="4"/>
  <c r="AG39" i="4"/>
  <c r="AG76" i="4"/>
  <c r="AG6" i="4"/>
  <c r="AG105" i="4"/>
  <c r="AG65" i="4"/>
  <c r="AG8" i="4"/>
  <c r="AG31" i="4"/>
  <c r="AG110" i="4"/>
  <c r="AG77" i="4"/>
  <c r="AG63" i="4"/>
  <c r="AG88" i="4"/>
  <c r="AG19" i="4"/>
  <c r="AG99" i="4"/>
  <c r="AG133" i="4"/>
  <c r="AG79" i="4"/>
  <c r="AG118" i="4"/>
  <c r="AG16" i="4"/>
  <c r="AG28" i="4"/>
  <c r="AG75" i="4"/>
  <c r="AG27" i="4"/>
  <c r="AG64" i="4"/>
  <c r="AG32" i="4"/>
  <c r="AG67" i="4"/>
  <c r="AG100" i="4"/>
  <c r="AG117" i="4"/>
  <c r="AG68" i="4"/>
  <c r="AG20" i="4"/>
  <c r="AG17" i="4"/>
  <c r="AG92" i="4"/>
  <c r="G38" i="2"/>
  <c r="G64" i="2"/>
  <c r="G57" i="2"/>
  <c r="G37" i="2"/>
  <c r="G52" i="2"/>
  <c r="G34" i="2"/>
  <c r="G43" i="2"/>
  <c r="G61" i="2"/>
  <c r="G39" i="2"/>
  <c r="G54" i="2"/>
  <c r="G46" i="2"/>
  <c r="G35" i="2"/>
  <c r="G56" i="2"/>
  <c r="G73" i="2"/>
  <c r="G26" i="2"/>
  <c r="G27" i="2"/>
  <c r="N23" i="2"/>
  <c r="N86" i="2"/>
  <c r="N95" i="2"/>
  <c r="N104" i="2"/>
  <c r="N113" i="2"/>
  <c r="N122" i="2"/>
  <c r="N68" i="2"/>
  <c r="N59" i="2"/>
  <c r="G62" i="2"/>
  <c r="H62" i="2"/>
  <c r="G25" i="2"/>
  <c r="H73" i="2"/>
  <c r="H70" i="2"/>
  <c r="H71" i="2"/>
  <c r="H72" i="2"/>
  <c r="G71" i="2"/>
  <c r="G74" i="2"/>
  <c r="G72" i="2"/>
  <c r="G70" i="2"/>
  <c r="F64" i="2"/>
  <c r="F70" i="2"/>
  <c r="F73" i="2"/>
  <c r="F56" i="2"/>
  <c r="F54" i="2"/>
  <c r="F53" i="2"/>
  <c r="F52" i="2"/>
  <c r="F47" i="2"/>
  <c r="F46" i="2"/>
  <c r="F44" i="2"/>
  <c r="F43" i="2"/>
  <c r="F39" i="2"/>
  <c r="F38" i="2"/>
  <c r="F37" i="2"/>
  <c r="F34" i="2"/>
  <c r="F29" i="2"/>
  <c r="F27" i="2"/>
  <c r="F26" i="2"/>
  <c r="F25" i="2"/>
  <c r="F66" i="2"/>
  <c r="F72" i="2"/>
  <c r="F62" i="2"/>
  <c r="F65" i="2"/>
  <c r="F71" i="2"/>
  <c r="F74" i="2"/>
  <c r="AD8" i="4"/>
  <c r="AD26" i="4"/>
  <c r="AD56" i="4"/>
  <c r="AE134" i="4"/>
  <c r="AD16" i="4"/>
  <c r="AD41" i="4"/>
  <c r="AD39" i="4"/>
  <c r="AE35" i="4"/>
  <c r="AD105" i="4"/>
  <c r="AD113" i="4"/>
  <c r="AE34" i="4"/>
  <c r="AD49" i="4"/>
  <c r="AD46" i="4"/>
  <c r="AD22" i="4"/>
  <c r="AD33" i="4"/>
  <c r="AE120" i="4"/>
  <c r="AE65" i="4"/>
  <c r="AD36" i="4"/>
  <c r="AD129" i="4"/>
  <c r="AD37" i="4"/>
  <c r="AD30" i="4"/>
  <c r="AD9" i="4"/>
  <c r="AD13" i="4"/>
  <c r="AD10" i="4"/>
  <c r="AD34" i="4"/>
  <c r="AE139" i="4"/>
  <c r="AD139" i="4"/>
  <c r="AE138" i="4"/>
  <c r="AE137" i="4"/>
  <c r="AE136" i="4"/>
  <c r="AE135" i="4"/>
  <c r="AE133" i="4"/>
  <c r="AD133" i="4"/>
  <c r="AE132" i="4"/>
  <c r="AE131" i="4"/>
  <c r="AD125" i="4"/>
  <c r="AD112" i="4"/>
  <c r="AE83" i="4"/>
  <c r="AE81" i="4"/>
  <c r="AD45" i="4"/>
  <c r="AD31" i="4"/>
  <c r="AE19" i="4"/>
  <c r="AD19" i="4"/>
  <c r="AD12" i="4"/>
  <c r="AD11" i="4"/>
  <c r="AE119" i="4"/>
  <c r="AD119" i="4"/>
  <c r="AE118" i="4"/>
  <c r="AE117" i="4"/>
  <c r="AE62" i="4"/>
  <c r="AD62" i="4"/>
  <c r="AD29" i="4"/>
  <c r="AD27" i="4"/>
  <c r="AD18" i="4"/>
  <c r="AE140" i="4"/>
  <c r="AD114" i="4"/>
  <c r="AD35" i="4"/>
  <c r="AD25" i="4"/>
  <c r="AD23" i="4"/>
  <c r="AD17" i="4"/>
  <c r="AD21" i="4"/>
  <c r="AD20" i="4"/>
  <c r="AD135" i="4"/>
  <c r="AD131" i="4"/>
  <c r="AD115" i="4"/>
  <c r="AD52" i="4"/>
  <c r="AD80" i="4"/>
  <c r="AD76" i="4"/>
  <c r="AD32" i="4"/>
  <c r="AE20" i="4"/>
  <c r="AD138" i="4"/>
  <c r="AD136" i="4"/>
  <c r="AD134" i="4"/>
  <c r="AD132" i="4"/>
  <c r="AD130" i="4"/>
  <c r="AD128" i="4"/>
  <c r="AD126" i="4"/>
  <c r="AD124" i="4"/>
  <c r="AD122" i="4"/>
  <c r="AD120" i="4"/>
  <c r="AD118" i="4"/>
  <c r="AD116" i="4"/>
  <c r="AD111" i="4"/>
  <c r="AD61" i="4"/>
  <c r="AD53" i="4"/>
  <c r="AD38" i="4"/>
  <c r="AD137" i="4"/>
  <c r="AD127" i="4"/>
  <c r="AD123" i="4"/>
  <c r="AD121" i="4"/>
  <c r="AD117" i="4"/>
  <c r="AD47" i="4"/>
  <c r="AD44" i="4"/>
  <c r="AD40" i="4"/>
  <c r="AD140" i="4"/>
  <c r="AD100" i="4"/>
  <c r="AD96" i="4"/>
  <c r="AD92" i="4"/>
  <c r="AD88" i="4"/>
  <c r="AD82" i="4"/>
  <c r="AD72" i="4"/>
  <c r="AD68" i="4"/>
  <c r="AD110" i="4"/>
  <c r="AD102" i="4"/>
  <c r="AD98" i="4"/>
  <c r="AD94" i="4"/>
  <c r="AD90" i="4"/>
  <c r="AD86" i="4"/>
  <c r="AD84" i="4"/>
  <c r="AD78" i="4"/>
  <c r="AD74" i="4"/>
  <c r="AD70" i="4"/>
  <c r="AD50" i="4"/>
  <c r="AD66" i="4"/>
  <c r="AE63" i="4"/>
  <c r="AD63" i="4"/>
  <c r="AD58" i="4"/>
  <c r="AD57" i="4"/>
  <c r="AD55" i="4"/>
  <c r="AD101" i="4"/>
  <c r="AD99" i="4"/>
  <c r="AD97" i="4"/>
  <c r="AD95" i="4"/>
  <c r="AD93" i="4"/>
  <c r="AD91" i="4"/>
  <c r="AD89" i="4"/>
  <c r="AD87" i="4"/>
  <c r="AD85" i="4"/>
  <c r="AE84" i="4"/>
  <c r="AD83" i="4"/>
  <c r="AE82" i="4"/>
  <c r="AD81" i="4"/>
  <c r="AD79" i="4"/>
  <c r="AD77" i="4"/>
  <c r="AD75" i="4"/>
  <c r="AD73" i="4"/>
  <c r="AD71" i="4"/>
  <c r="AD69" i="4"/>
  <c r="AD67" i="4"/>
  <c r="AE64" i="4"/>
  <c r="AD54" i="4"/>
  <c r="AD48" i="4"/>
  <c r="AD42" i="4"/>
  <c r="AE36" i="4"/>
  <c r="AD24" i="4"/>
  <c r="AD64" i="4"/>
  <c r="AD60" i="4"/>
  <c r="AD65" i="4"/>
  <c r="AD59" i="4"/>
  <c r="AD51" i="4"/>
  <c r="AD28" i="4"/>
  <c r="AD15" i="4"/>
  <c r="AD14" i="4"/>
  <c r="AD6" i="4"/>
  <c r="AD7" i="4"/>
  <c r="AD141" i="4"/>
  <c r="S11" i="2"/>
  <c r="S10" i="2"/>
  <c r="S9" i="2"/>
  <c r="S8" i="2"/>
  <c r="S7" i="2"/>
  <c r="S6" i="2"/>
  <c r="S5" i="2"/>
  <c r="S4" i="2"/>
  <c r="S3" i="2"/>
  <c r="E17" i="2"/>
  <c r="F17" i="2" s="1"/>
  <c r="D17" i="2"/>
  <c r="E18" i="2"/>
  <c r="H18" i="2" s="1"/>
  <c r="D18" i="2"/>
  <c r="E19" i="2"/>
  <c r="F19" i="2" s="1"/>
  <c r="D19" i="2"/>
  <c r="E20" i="2"/>
  <c r="F20" i="2" s="1"/>
  <c r="D20" i="2"/>
  <c r="E21" i="2"/>
  <c r="F21" i="2" s="1"/>
  <c r="D21" i="2"/>
  <c r="D16" i="2"/>
  <c r="K21" i="2" l="1"/>
  <c r="K19" i="2"/>
  <c r="K20" i="2"/>
  <c r="J18" i="2"/>
  <c r="K17" i="2"/>
  <c r="K18" i="2"/>
  <c r="J19" i="2"/>
  <c r="J21" i="2"/>
  <c r="J17" i="2"/>
  <c r="J20" i="2"/>
  <c r="AL109" i="4"/>
  <c r="C109" i="4" s="1"/>
  <c r="AV65" i="4"/>
  <c r="AP65" i="4"/>
  <c r="AM65" i="4"/>
  <c r="AQ65" i="4"/>
  <c r="AN65" i="4"/>
  <c r="AO65" i="4"/>
  <c r="AV81" i="4"/>
  <c r="AN81" i="4"/>
  <c r="AO81" i="4"/>
  <c r="AM81" i="4"/>
  <c r="AP81" i="4"/>
  <c r="AQ81" i="4"/>
  <c r="AV93" i="4"/>
  <c r="AV63" i="4"/>
  <c r="AN63" i="4"/>
  <c r="AO63" i="4"/>
  <c r="AM63" i="4"/>
  <c r="AP63" i="4"/>
  <c r="AQ63" i="4"/>
  <c r="AV86" i="4"/>
  <c r="AV82" i="4"/>
  <c r="AM82" i="4"/>
  <c r="AQ82" i="4"/>
  <c r="AN82" i="4"/>
  <c r="AO82" i="4"/>
  <c r="AP82" i="4"/>
  <c r="AP47" i="4"/>
  <c r="AM47" i="4"/>
  <c r="AQ47" i="4"/>
  <c r="AV47" i="4"/>
  <c r="AN47" i="4"/>
  <c r="AO47" i="4"/>
  <c r="AV120" i="4"/>
  <c r="AN120" i="4"/>
  <c r="AO120" i="4"/>
  <c r="AP120" i="4"/>
  <c r="AM120" i="4"/>
  <c r="AQ120" i="4"/>
  <c r="AV17" i="4"/>
  <c r="AV29" i="4"/>
  <c r="AV45" i="4"/>
  <c r="AN45" i="4"/>
  <c r="AO45" i="4"/>
  <c r="AP45" i="4"/>
  <c r="AQ45" i="4"/>
  <c r="AM45" i="4"/>
  <c r="AV10" i="4"/>
  <c r="AN28" i="4"/>
  <c r="AO28" i="4"/>
  <c r="AP28" i="4"/>
  <c r="AQ28" i="4"/>
  <c r="AV28" i="4"/>
  <c r="AM28" i="4"/>
  <c r="AN42" i="4"/>
  <c r="AV42" i="4"/>
  <c r="AO42" i="4"/>
  <c r="AM42" i="4"/>
  <c r="AP42" i="4"/>
  <c r="AQ42" i="4"/>
  <c r="AV75" i="4"/>
  <c r="AV87" i="4"/>
  <c r="AN87" i="4"/>
  <c r="AO87" i="4"/>
  <c r="AP87" i="4"/>
  <c r="AQ87" i="4"/>
  <c r="AM87" i="4"/>
  <c r="AM55" i="4"/>
  <c r="AQ55" i="4"/>
  <c r="AN55" i="4"/>
  <c r="AV55" i="4"/>
  <c r="AO55" i="4"/>
  <c r="AP55" i="4"/>
  <c r="AV74" i="4"/>
  <c r="AV110" i="4"/>
  <c r="AO110" i="4"/>
  <c r="AP110" i="4"/>
  <c r="AM110" i="4"/>
  <c r="AQ110" i="4"/>
  <c r="AN110" i="4"/>
  <c r="AO23" i="4"/>
  <c r="AP23" i="4"/>
  <c r="AV23" i="4"/>
  <c r="AQ23" i="4"/>
  <c r="AM23" i="4"/>
  <c r="AN23" i="4"/>
  <c r="AV62" i="4"/>
  <c r="AO62" i="4"/>
  <c r="AP62" i="4"/>
  <c r="AQ62" i="4"/>
  <c r="AM62" i="4"/>
  <c r="AN62" i="4"/>
  <c r="AM19" i="4"/>
  <c r="AQ19" i="4"/>
  <c r="AN19" i="4"/>
  <c r="AO19" i="4"/>
  <c r="AP19" i="4"/>
  <c r="AV19" i="4"/>
  <c r="AV13" i="4"/>
  <c r="AV105" i="4"/>
  <c r="AQ6" i="4"/>
  <c r="AO6" i="4"/>
  <c r="AV6" i="4"/>
  <c r="AU6" i="4"/>
  <c r="AV51" i="4"/>
  <c r="AM64" i="4"/>
  <c r="AQ64" i="4"/>
  <c r="AV64" i="4"/>
  <c r="AN64" i="4"/>
  <c r="AO64" i="4"/>
  <c r="AP64" i="4"/>
  <c r="AO48" i="4"/>
  <c r="AP48" i="4"/>
  <c r="AQ48" i="4"/>
  <c r="AV48" i="4"/>
  <c r="AM48" i="4"/>
  <c r="AN48" i="4"/>
  <c r="AV69" i="4"/>
  <c r="AO69" i="4"/>
  <c r="AP69" i="4"/>
  <c r="AQ69" i="4"/>
  <c r="AM69" i="4"/>
  <c r="AN69" i="4"/>
  <c r="AV77" i="4"/>
  <c r="AO77" i="4"/>
  <c r="AP77" i="4"/>
  <c r="AM77" i="4"/>
  <c r="AN77" i="4"/>
  <c r="AQ77" i="4"/>
  <c r="AP83" i="4"/>
  <c r="AM83" i="4"/>
  <c r="AQ83" i="4"/>
  <c r="AV83" i="4"/>
  <c r="AN83" i="4"/>
  <c r="AO83" i="4"/>
  <c r="AV89" i="4"/>
  <c r="AP89" i="4"/>
  <c r="AM89" i="4"/>
  <c r="AQ89" i="4"/>
  <c r="AN89" i="4"/>
  <c r="AO89" i="4"/>
  <c r="AV97" i="4"/>
  <c r="AO97" i="4"/>
  <c r="AP97" i="4"/>
  <c r="AM97" i="4"/>
  <c r="AQ97" i="4"/>
  <c r="AN97" i="4"/>
  <c r="AV57" i="4"/>
  <c r="AO57" i="4"/>
  <c r="AP57" i="4"/>
  <c r="AQ57" i="4"/>
  <c r="AM57" i="4"/>
  <c r="AN57" i="4"/>
  <c r="AV66" i="4"/>
  <c r="AV78" i="4"/>
  <c r="AV94" i="4"/>
  <c r="AN94" i="4"/>
  <c r="AM94" i="4"/>
  <c r="AO94" i="4"/>
  <c r="AP94" i="4"/>
  <c r="AQ94" i="4"/>
  <c r="AV68" i="4"/>
  <c r="AM92" i="4"/>
  <c r="AQ92" i="4"/>
  <c r="AN92" i="4"/>
  <c r="AO92" i="4"/>
  <c r="AV92" i="4"/>
  <c r="AP92" i="4"/>
  <c r="AV40" i="4"/>
  <c r="AV38" i="4"/>
  <c r="AN116" i="4"/>
  <c r="AO116" i="4"/>
  <c r="AV116" i="4"/>
  <c r="AP116" i="4"/>
  <c r="AM116" i="4"/>
  <c r="AQ116" i="4"/>
  <c r="AM52" i="4"/>
  <c r="AQ52" i="4"/>
  <c r="AN52" i="4"/>
  <c r="AO52" i="4"/>
  <c r="AP52" i="4"/>
  <c r="AV52" i="4"/>
  <c r="AP20" i="4"/>
  <c r="AM20" i="4"/>
  <c r="AQ20" i="4"/>
  <c r="AN20" i="4"/>
  <c r="AO20" i="4"/>
  <c r="AV20" i="4"/>
  <c r="AV25" i="4"/>
  <c r="AM25" i="4"/>
  <c r="AQ25" i="4"/>
  <c r="AN25" i="4"/>
  <c r="AO25" i="4"/>
  <c r="AP25" i="4"/>
  <c r="AV18" i="4"/>
  <c r="AV9" i="4"/>
  <c r="AV49" i="4"/>
  <c r="AN49" i="4"/>
  <c r="AO49" i="4"/>
  <c r="AM49" i="4"/>
  <c r="AP49" i="4"/>
  <c r="AQ49" i="4"/>
  <c r="AV15" i="4"/>
  <c r="AV73" i="4"/>
  <c r="AO73" i="4"/>
  <c r="AP73" i="4"/>
  <c r="AM73" i="4"/>
  <c r="AN73" i="4"/>
  <c r="AQ73" i="4"/>
  <c r="AV85" i="4"/>
  <c r="AN85" i="4"/>
  <c r="AO85" i="4"/>
  <c r="AP85" i="4"/>
  <c r="AQ85" i="4"/>
  <c r="AM85" i="4"/>
  <c r="AV101" i="4"/>
  <c r="AV70" i="4"/>
  <c r="AN70" i="4"/>
  <c r="AO70" i="4"/>
  <c r="AM70" i="4"/>
  <c r="AP70" i="4"/>
  <c r="AQ70" i="4"/>
  <c r="AV102" i="4"/>
  <c r="AP100" i="4"/>
  <c r="AM100" i="4"/>
  <c r="AQ100" i="4"/>
  <c r="AN100" i="4"/>
  <c r="AV100" i="4"/>
  <c r="AO100" i="4"/>
  <c r="AV61" i="4"/>
  <c r="AV76" i="4"/>
  <c r="AV114" i="4"/>
  <c r="AV12" i="4"/>
  <c r="AV30" i="4"/>
  <c r="AP36" i="4"/>
  <c r="AM36" i="4"/>
  <c r="AQ36" i="4"/>
  <c r="AN36" i="4"/>
  <c r="AO36" i="4"/>
  <c r="AV36" i="4"/>
  <c r="AP22" i="4"/>
  <c r="AV22" i="4"/>
  <c r="AM22" i="4"/>
  <c r="AQ22" i="4"/>
  <c r="AN22" i="4"/>
  <c r="AO22" i="4"/>
  <c r="AV113" i="4"/>
  <c r="AV41" i="4"/>
  <c r="AO41" i="4"/>
  <c r="AP41" i="4"/>
  <c r="AQ41" i="4"/>
  <c r="AM41" i="4"/>
  <c r="AN41" i="4"/>
  <c r="AP26" i="4"/>
  <c r="AV26" i="4"/>
  <c r="AM26" i="4"/>
  <c r="AQ26" i="4"/>
  <c r="AN26" i="4"/>
  <c r="AO26" i="4"/>
  <c r="AV7" i="4"/>
  <c r="AV60" i="4"/>
  <c r="AO67" i="4"/>
  <c r="AP67" i="4"/>
  <c r="AQ67" i="4"/>
  <c r="AV67" i="4"/>
  <c r="AM67" i="4"/>
  <c r="AN67" i="4"/>
  <c r="AV95" i="4"/>
  <c r="AM95" i="4"/>
  <c r="AQ95" i="4"/>
  <c r="AN95" i="4"/>
  <c r="AO95" i="4"/>
  <c r="AP95" i="4"/>
  <c r="AV90" i="4"/>
  <c r="AO90" i="4"/>
  <c r="AP90" i="4"/>
  <c r="AQ90" i="4"/>
  <c r="AM90" i="4"/>
  <c r="AN90" i="4"/>
  <c r="AM88" i="4"/>
  <c r="AQ88" i="4"/>
  <c r="AV88" i="4"/>
  <c r="AN88" i="4"/>
  <c r="AO88" i="4"/>
  <c r="AP88" i="4"/>
  <c r="AM117" i="4"/>
  <c r="AQ117" i="4"/>
  <c r="AN117" i="4"/>
  <c r="AO117" i="4"/>
  <c r="AV117" i="4"/>
  <c r="AP117" i="4"/>
  <c r="AV111" i="4"/>
  <c r="AO80" i="4"/>
  <c r="AV80" i="4"/>
  <c r="AP80" i="4"/>
  <c r="AQ80" i="4"/>
  <c r="AM80" i="4"/>
  <c r="AN80" i="4"/>
  <c r="AV119" i="4"/>
  <c r="AO119" i="4"/>
  <c r="AP119" i="4"/>
  <c r="AM119" i="4"/>
  <c r="AQ119" i="4"/>
  <c r="AN119" i="4"/>
  <c r="AV37" i="4"/>
  <c r="AO37" i="4"/>
  <c r="AP37" i="4"/>
  <c r="AQ37" i="4"/>
  <c r="AM37" i="4"/>
  <c r="AN37" i="4"/>
  <c r="AM46" i="4"/>
  <c r="AQ46" i="4"/>
  <c r="AV46" i="4"/>
  <c r="AN46" i="4"/>
  <c r="AO46" i="4"/>
  <c r="AP46" i="4"/>
  <c r="AV16" i="4"/>
  <c r="AO8" i="4"/>
  <c r="AP8" i="4"/>
  <c r="AQ8" i="4"/>
  <c r="AV8" i="4"/>
  <c r="AM8" i="4"/>
  <c r="AN8" i="4"/>
  <c r="AV14" i="4"/>
  <c r="AV59" i="4"/>
  <c r="AN24" i="4"/>
  <c r="AO24" i="4"/>
  <c r="AV24" i="4"/>
  <c r="AM24" i="4"/>
  <c r="AP24" i="4"/>
  <c r="AQ24" i="4"/>
  <c r="AV54" i="4"/>
  <c r="AV71" i="4"/>
  <c r="AM71" i="4"/>
  <c r="AQ71" i="4"/>
  <c r="AN71" i="4"/>
  <c r="AO71" i="4"/>
  <c r="AP71" i="4"/>
  <c r="AV79" i="4"/>
  <c r="AN91" i="4"/>
  <c r="AO91" i="4"/>
  <c r="AV91" i="4"/>
  <c r="AM91" i="4"/>
  <c r="AP91" i="4"/>
  <c r="AQ91" i="4"/>
  <c r="AM99" i="4"/>
  <c r="AQ99" i="4"/>
  <c r="AN99" i="4"/>
  <c r="AV99" i="4"/>
  <c r="AO99" i="4"/>
  <c r="AP99" i="4"/>
  <c r="AV58" i="4"/>
  <c r="AV50" i="4"/>
  <c r="AO84" i="4"/>
  <c r="AP84" i="4"/>
  <c r="AM84" i="4"/>
  <c r="AN84" i="4"/>
  <c r="AQ84" i="4"/>
  <c r="AV84" i="4"/>
  <c r="AV98" i="4"/>
  <c r="AN98" i="4"/>
  <c r="AO98" i="4"/>
  <c r="AP98" i="4"/>
  <c r="AM98" i="4"/>
  <c r="AQ98" i="4"/>
  <c r="AP72" i="4"/>
  <c r="AV72" i="4"/>
  <c r="AM72" i="4"/>
  <c r="AQ72" i="4"/>
  <c r="AN72" i="4"/>
  <c r="AO72" i="4"/>
  <c r="AV96" i="4"/>
  <c r="AV44" i="4"/>
  <c r="AV53" i="4"/>
  <c r="AV118" i="4"/>
  <c r="AP118" i="4"/>
  <c r="AM118" i="4"/>
  <c r="AQ118" i="4"/>
  <c r="AN118" i="4"/>
  <c r="AO118" i="4"/>
  <c r="AV32" i="4"/>
  <c r="AV115" i="4"/>
  <c r="AO115" i="4"/>
  <c r="AP115" i="4"/>
  <c r="AM115" i="4"/>
  <c r="AQ115" i="4"/>
  <c r="AN115" i="4"/>
  <c r="AV21" i="4"/>
  <c r="AM35" i="4"/>
  <c r="AQ35" i="4"/>
  <c r="AN35" i="4"/>
  <c r="AV35" i="4"/>
  <c r="AO35" i="4"/>
  <c r="AP35" i="4"/>
  <c r="AO27" i="4"/>
  <c r="AP27" i="4"/>
  <c r="AM27" i="4"/>
  <c r="AN27" i="4"/>
  <c r="AV27" i="4"/>
  <c r="AQ27" i="4"/>
  <c r="AV11" i="4"/>
  <c r="AV31" i="4"/>
  <c r="AV112" i="4"/>
  <c r="AN34" i="4"/>
  <c r="AV34" i="4"/>
  <c r="AO34" i="4"/>
  <c r="AP34" i="4"/>
  <c r="AQ34" i="4"/>
  <c r="AM34" i="4"/>
  <c r="AV33" i="4"/>
  <c r="AO39" i="4"/>
  <c r="AP39" i="4"/>
  <c r="AV39" i="4"/>
  <c r="AQ39" i="4"/>
  <c r="AM39" i="4"/>
  <c r="AN39" i="4"/>
  <c r="AP56" i="4"/>
  <c r="AM56" i="4"/>
  <c r="AQ56" i="4"/>
  <c r="AN56" i="4"/>
  <c r="AV56" i="4"/>
  <c r="AO56" i="4"/>
  <c r="AU64" i="4"/>
  <c r="AS64" i="4"/>
  <c r="AT64" i="4"/>
  <c r="AS77" i="4"/>
  <c r="AT77" i="4"/>
  <c r="AU77" i="4"/>
  <c r="AS97" i="4"/>
  <c r="AT97" i="4"/>
  <c r="AU97" i="4"/>
  <c r="AS78" i="4"/>
  <c r="AT78" i="4"/>
  <c r="AR78" i="4"/>
  <c r="AR40" i="4"/>
  <c r="AS40" i="4"/>
  <c r="AT40" i="4"/>
  <c r="AS116" i="4"/>
  <c r="AT116" i="4"/>
  <c r="AU116" i="4"/>
  <c r="AU25" i="4"/>
  <c r="AS25" i="4"/>
  <c r="AT25" i="4"/>
  <c r="AU49" i="4"/>
  <c r="AS49" i="4"/>
  <c r="AT49" i="4"/>
  <c r="AU14" i="4"/>
  <c r="AR14" i="4"/>
  <c r="AR59" i="4"/>
  <c r="AS59" i="4"/>
  <c r="AT59" i="4"/>
  <c r="AU24" i="4"/>
  <c r="AS24" i="4"/>
  <c r="AT24" i="4"/>
  <c r="AU54" i="4"/>
  <c r="AR54" i="4"/>
  <c r="AT54" i="4"/>
  <c r="AU71" i="4"/>
  <c r="AT71" i="4"/>
  <c r="AS71" i="4"/>
  <c r="AS79" i="4"/>
  <c r="AT79" i="4"/>
  <c r="AU79" i="4"/>
  <c r="AS91" i="4"/>
  <c r="AT91" i="4"/>
  <c r="AU91" i="4"/>
  <c r="AS99" i="4"/>
  <c r="AT99" i="4"/>
  <c r="AU99" i="4"/>
  <c r="AU58" i="4"/>
  <c r="AS58" i="4"/>
  <c r="AT58" i="4"/>
  <c r="AU50" i="4"/>
  <c r="AS50" i="4"/>
  <c r="AT50" i="4"/>
  <c r="AS84" i="4"/>
  <c r="AT84" i="4"/>
  <c r="AU84" i="4"/>
  <c r="AS98" i="4"/>
  <c r="AT98" i="4"/>
  <c r="AU98" i="4"/>
  <c r="AU72" i="4"/>
  <c r="AS72" i="4"/>
  <c r="AT72" i="4"/>
  <c r="AS96" i="4"/>
  <c r="AT96" i="4"/>
  <c r="AR96" i="4"/>
  <c r="AR44" i="4"/>
  <c r="AS44" i="4"/>
  <c r="AT44" i="4"/>
  <c r="AU53" i="4"/>
  <c r="AS53" i="4"/>
  <c r="AT53" i="4"/>
  <c r="AS118" i="4"/>
  <c r="AT118" i="4"/>
  <c r="AU118" i="4"/>
  <c r="AU32" i="4"/>
  <c r="AS32" i="4"/>
  <c r="AT32" i="4"/>
  <c r="AS115" i="4"/>
  <c r="AT115" i="4"/>
  <c r="AU115" i="4"/>
  <c r="AU21" i="4"/>
  <c r="AT21" i="4"/>
  <c r="AU35" i="4"/>
  <c r="AS35" i="4"/>
  <c r="AT35" i="4"/>
  <c r="AU27" i="4"/>
  <c r="AS27" i="4"/>
  <c r="AT27" i="4"/>
  <c r="AU11" i="4"/>
  <c r="AS11" i="4"/>
  <c r="AT11" i="4"/>
  <c r="AU31" i="4"/>
  <c r="AR31" i="4"/>
  <c r="AS31" i="4"/>
  <c r="AS112" i="4"/>
  <c r="AT112" i="4"/>
  <c r="AU112" i="4"/>
  <c r="AU34" i="4"/>
  <c r="AS34" i="4"/>
  <c r="AT34" i="4"/>
  <c r="AU33" i="4"/>
  <c r="AS33" i="4"/>
  <c r="AT33" i="4"/>
  <c r="AU39" i="4"/>
  <c r="AS39" i="4"/>
  <c r="AT39" i="4"/>
  <c r="AU56" i="4"/>
  <c r="AS56" i="4"/>
  <c r="AT56" i="4"/>
  <c r="AR109" i="4"/>
  <c r="AL108" i="4"/>
  <c r="C108" i="4" s="1"/>
  <c r="AU51" i="4"/>
  <c r="AS51" i="4"/>
  <c r="AT51" i="4"/>
  <c r="AU69" i="4"/>
  <c r="AS69" i="4"/>
  <c r="AT69" i="4"/>
  <c r="AS83" i="4"/>
  <c r="AT83" i="4"/>
  <c r="AU83" i="4"/>
  <c r="AU57" i="4"/>
  <c r="AS57" i="4"/>
  <c r="AT57" i="4"/>
  <c r="AS94" i="4"/>
  <c r="AT94" i="4"/>
  <c r="AU94" i="4"/>
  <c r="AS92" i="4"/>
  <c r="AT92" i="4"/>
  <c r="AU92" i="4"/>
  <c r="AU52" i="4"/>
  <c r="AS52" i="4"/>
  <c r="AT52" i="4"/>
  <c r="AU18" i="4"/>
  <c r="AT18" i="4"/>
  <c r="AU15" i="4"/>
  <c r="AS15" i="4"/>
  <c r="AT15" i="4"/>
  <c r="AU65" i="4"/>
  <c r="AS65" i="4"/>
  <c r="AT65" i="4"/>
  <c r="AU73" i="4"/>
  <c r="AT73" i="4"/>
  <c r="AS73" i="4"/>
  <c r="AS81" i="4"/>
  <c r="AT81" i="4"/>
  <c r="AU81" i="4"/>
  <c r="AS85" i="4"/>
  <c r="AT85" i="4"/>
  <c r="AU85" i="4"/>
  <c r="AS93" i="4"/>
  <c r="AR93" i="4"/>
  <c r="AS101" i="4"/>
  <c r="AT101" i="4"/>
  <c r="AR101" i="4"/>
  <c r="AU63" i="4"/>
  <c r="AS63" i="4"/>
  <c r="AT63" i="4"/>
  <c r="AU70" i="4"/>
  <c r="AS70" i="4"/>
  <c r="AT70" i="4"/>
  <c r="AS86" i="4"/>
  <c r="AR86" i="4"/>
  <c r="AT86" i="4"/>
  <c r="AS102" i="4"/>
  <c r="AR102" i="4"/>
  <c r="AT102" i="4"/>
  <c r="AS82" i="4"/>
  <c r="AT82" i="4"/>
  <c r="AU82" i="4"/>
  <c r="AS100" i="4"/>
  <c r="AT100" i="4"/>
  <c r="AU100" i="4"/>
  <c r="AU47" i="4"/>
  <c r="AS47" i="4"/>
  <c r="AT47" i="4"/>
  <c r="AU61" i="4"/>
  <c r="AS61" i="4"/>
  <c r="AT61" i="4"/>
  <c r="AS120" i="4"/>
  <c r="AT120" i="4"/>
  <c r="AU120" i="4"/>
  <c r="AS76" i="4"/>
  <c r="AT76" i="4"/>
  <c r="AU76" i="4"/>
  <c r="AU17" i="4"/>
  <c r="AT17" i="4"/>
  <c r="AS114" i="4"/>
  <c r="AR114" i="4"/>
  <c r="AU29" i="4"/>
  <c r="AS29" i="4"/>
  <c r="AT29" i="4"/>
  <c r="AU12" i="4"/>
  <c r="AS12" i="4"/>
  <c r="AT12" i="4"/>
  <c r="AU45" i="4"/>
  <c r="AS45" i="4"/>
  <c r="AT45" i="4"/>
  <c r="AU10" i="4"/>
  <c r="AS10" i="4"/>
  <c r="AT10" i="4"/>
  <c r="AU30" i="4"/>
  <c r="AS30" i="4"/>
  <c r="AT30" i="4"/>
  <c r="AU36" i="4"/>
  <c r="AS36" i="4"/>
  <c r="AT36" i="4"/>
  <c r="AU22" i="4"/>
  <c r="AS22" i="4"/>
  <c r="AT22" i="4"/>
  <c r="AS113" i="4"/>
  <c r="AT113" i="4"/>
  <c r="AU113" i="4"/>
  <c r="AU41" i="4"/>
  <c r="AS41" i="4"/>
  <c r="AT41" i="4"/>
  <c r="AU26" i="4"/>
  <c r="AS26" i="4"/>
  <c r="AT26" i="4"/>
  <c r="AL107" i="4"/>
  <c r="C107" i="4" s="1"/>
  <c r="AR108" i="4"/>
  <c r="AM6" i="4"/>
  <c r="AN6" i="4"/>
  <c r="AP6" i="4"/>
  <c r="AU48" i="4"/>
  <c r="AS48" i="4"/>
  <c r="AT48" i="4"/>
  <c r="AS89" i="4"/>
  <c r="AT89" i="4"/>
  <c r="AU89" i="4"/>
  <c r="AU66" i="4"/>
  <c r="AS66" i="4"/>
  <c r="AT66" i="4"/>
  <c r="AU68" i="4"/>
  <c r="AR68" i="4"/>
  <c r="AT68" i="4"/>
  <c r="AU38" i="4"/>
  <c r="AT38" i="4"/>
  <c r="AU20" i="4"/>
  <c r="AS20" i="4"/>
  <c r="AT20" i="4"/>
  <c r="AU9" i="4"/>
  <c r="AS9" i="4"/>
  <c r="AT9" i="4"/>
  <c r="AU7" i="4"/>
  <c r="AT7" i="4"/>
  <c r="AU28" i="4"/>
  <c r="AS28" i="4"/>
  <c r="AT28" i="4"/>
  <c r="AU60" i="4"/>
  <c r="AS60" i="4"/>
  <c r="AT60" i="4"/>
  <c r="AU42" i="4"/>
  <c r="AS42" i="4"/>
  <c r="AT42" i="4"/>
  <c r="AU67" i="4"/>
  <c r="AS67" i="4"/>
  <c r="AT67" i="4"/>
  <c r="AS75" i="4"/>
  <c r="AT75" i="4"/>
  <c r="AU75" i="4"/>
  <c r="AS87" i="4"/>
  <c r="AT87" i="4"/>
  <c r="AU87" i="4"/>
  <c r="AS95" i="4"/>
  <c r="AT95" i="4"/>
  <c r="AU95" i="4"/>
  <c r="AU55" i="4"/>
  <c r="AS55" i="4"/>
  <c r="AT55" i="4"/>
  <c r="AR74" i="4"/>
  <c r="AT74" i="4"/>
  <c r="AU74" i="4"/>
  <c r="AS90" i="4"/>
  <c r="AT90" i="4"/>
  <c r="AU90" i="4"/>
  <c r="AS110" i="4"/>
  <c r="AT110" i="4"/>
  <c r="AU110" i="4"/>
  <c r="AS88" i="4"/>
  <c r="AT88" i="4"/>
  <c r="AU88" i="4"/>
  <c r="AS117" i="4"/>
  <c r="AT117" i="4"/>
  <c r="AU117" i="4"/>
  <c r="AS111" i="4"/>
  <c r="AT111" i="4"/>
  <c r="AU111" i="4"/>
  <c r="AS80" i="4"/>
  <c r="AT80" i="4"/>
  <c r="AU80" i="4"/>
  <c r="AU23" i="4"/>
  <c r="AS23" i="4"/>
  <c r="AT23" i="4"/>
  <c r="AU62" i="4"/>
  <c r="AS62" i="4"/>
  <c r="AT62" i="4"/>
  <c r="AS119" i="4"/>
  <c r="AT119" i="4"/>
  <c r="AU119" i="4"/>
  <c r="AU19" i="4"/>
  <c r="AS19" i="4"/>
  <c r="AT19" i="4"/>
  <c r="AU13" i="4"/>
  <c r="AS13" i="4"/>
  <c r="AT13" i="4"/>
  <c r="AU37" i="4"/>
  <c r="AS37" i="4"/>
  <c r="AT37" i="4"/>
  <c r="AU46" i="4"/>
  <c r="AS46" i="4"/>
  <c r="AT46" i="4"/>
  <c r="AU16" i="4"/>
  <c r="AS16" i="4"/>
  <c r="AT16" i="4"/>
  <c r="AU8" i="4"/>
  <c r="AS8" i="4"/>
  <c r="AT8" i="4"/>
  <c r="AI97" i="4"/>
  <c r="AH97" i="4"/>
  <c r="AH40" i="4"/>
  <c r="AI40" i="4"/>
  <c r="AH14" i="4"/>
  <c r="AI14" i="4"/>
  <c r="AI59" i="4"/>
  <c r="AH59" i="4"/>
  <c r="AH24" i="4"/>
  <c r="AI24" i="4"/>
  <c r="AH54" i="4"/>
  <c r="AI54" i="4"/>
  <c r="AI71" i="4"/>
  <c r="AH71" i="4"/>
  <c r="AI79" i="4"/>
  <c r="AI91" i="4"/>
  <c r="AH91" i="4"/>
  <c r="AI99" i="4"/>
  <c r="AH99" i="4"/>
  <c r="AH50" i="4"/>
  <c r="AI50" i="4"/>
  <c r="AH84" i="4"/>
  <c r="AI84" i="4"/>
  <c r="AH98" i="4"/>
  <c r="AI98" i="4"/>
  <c r="AH72" i="4"/>
  <c r="AI72" i="4"/>
  <c r="AH96" i="4"/>
  <c r="AI96" i="4"/>
  <c r="AH44" i="4"/>
  <c r="AI44" i="4"/>
  <c r="A123" i="4"/>
  <c r="AH123" i="4"/>
  <c r="AI123" i="4"/>
  <c r="A118" i="4"/>
  <c r="AI118" i="4"/>
  <c r="AH118" i="4"/>
  <c r="A126" i="4"/>
  <c r="AI126" i="4"/>
  <c r="AH126" i="4"/>
  <c r="A134" i="4"/>
  <c r="AI134" i="4"/>
  <c r="AH134" i="4"/>
  <c r="AH115" i="4"/>
  <c r="AI115" i="4"/>
  <c r="AI21" i="4"/>
  <c r="AH21" i="4"/>
  <c r="AI35" i="4"/>
  <c r="AH35" i="4"/>
  <c r="AI27" i="4"/>
  <c r="AH27" i="4"/>
  <c r="AI11" i="4"/>
  <c r="AI31" i="4"/>
  <c r="AH31" i="4"/>
  <c r="AI112" i="4"/>
  <c r="A133" i="4"/>
  <c r="AH133" i="4"/>
  <c r="AI133" i="4"/>
  <c r="AH34" i="4"/>
  <c r="AI34" i="4"/>
  <c r="AI39" i="4"/>
  <c r="AH39" i="4"/>
  <c r="AH56" i="4"/>
  <c r="AI56" i="4"/>
  <c r="AT6" i="4"/>
  <c r="AI6" i="4"/>
  <c r="AH6" i="4"/>
  <c r="AS6" i="4"/>
  <c r="AH64" i="4"/>
  <c r="AI64" i="4"/>
  <c r="AI69" i="4"/>
  <c r="AH69" i="4"/>
  <c r="AI83" i="4"/>
  <c r="AH83" i="4"/>
  <c r="AI57" i="4"/>
  <c r="AH57" i="4"/>
  <c r="AH78" i="4"/>
  <c r="AI78" i="4"/>
  <c r="AH94" i="4"/>
  <c r="AI94" i="4"/>
  <c r="AH92" i="4"/>
  <c r="AI92" i="4"/>
  <c r="AH38" i="4"/>
  <c r="AI38" i="4"/>
  <c r="A124" i="4"/>
  <c r="AI124" i="4"/>
  <c r="AH124" i="4"/>
  <c r="AH20" i="4"/>
  <c r="AI20" i="4"/>
  <c r="AH18" i="4"/>
  <c r="AI18" i="4"/>
  <c r="AH129" i="4"/>
  <c r="AI129" i="4"/>
  <c r="A141" i="4"/>
  <c r="AH141" i="4"/>
  <c r="AI141" i="4"/>
  <c r="AI65" i="4"/>
  <c r="AH65" i="4"/>
  <c r="AI73" i="4"/>
  <c r="AH73" i="4"/>
  <c r="AI81" i="4"/>
  <c r="AH81" i="4"/>
  <c r="AI85" i="4"/>
  <c r="AH85" i="4"/>
  <c r="AI93" i="4"/>
  <c r="AH93" i="4"/>
  <c r="AI101" i="4"/>
  <c r="AH101" i="4"/>
  <c r="AI63" i="4"/>
  <c r="AH63" i="4"/>
  <c r="AH70" i="4"/>
  <c r="AI70" i="4"/>
  <c r="AH86" i="4"/>
  <c r="AI86" i="4"/>
  <c r="AH102" i="4"/>
  <c r="AI102" i="4"/>
  <c r="AH82" i="4"/>
  <c r="AI82" i="4"/>
  <c r="AH100" i="4"/>
  <c r="AI100" i="4"/>
  <c r="AI47" i="4"/>
  <c r="AH47" i="4"/>
  <c r="A127" i="4"/>
  <c r="AH127" i="4"/>
  <c r="AI127" i="4"/>
  <c r="AI61" i="4"/>
  <c r="A120" i="4"/>
  <c r="AI120" i="4"/>
  <c r="AH120" i="4"/>
  <c r="A128" i="4"/>
  <c r="AI128" i="4"/>
  <c r="AH128" i="4"/>
  <c r="A136" i="4"/>
  <c r="AH136" i="4"/>
  <c r="AI136" i="4"/>
  <c r="A131" i="4"/>
  <c r="AH131" i="4"/>
  <c r="AI131" i="4"/>
  <c r="AI17" i="4"/>
  <c r="AH17" i="4"/>
  <c r="AI114" i="4"/>
  <c r="AH114" i="4"/>
  <c r="AI45" i="4"/>
  <c r="AH45" i="4"/>
  <c r="A125" i="4"/>
  <c r="AH125" i="4"/>
  <c r="AI125" i="4"/>
  <c r="AI10" i="4"/>
  <c r="AH36" i="4"/>
  <c r="AI36" i="4"/>
  <c r="AH22" i="4"/>
  <c r="AI22" i="4"/>
  <c r="AI113" i="4"/>
  <c r="AI41" i="4"/>
  <c r="AH41" i="4"/>
  <c r="AH26" i="4"/>
  <c r="AI26" i="4"/>
  <c r="AH48" i="4"/>
  <c r="AI48" i="4"/>
  <c r="AI77" i="4"/>
  <c r="AH77" i="4"/>
  <c r="AI89" i="4"/>
  <c r="AH89" i="4"/>
  <c r="AI66" i="4"/>
  <c r="AH68" i="4"/>
  <c r="AI68" i="4"/>
  <c r="A121" i="4"/>
  <c r="AH121" i="4"/>
  <c r="AI121" i="4"/>
  <c r="AI116" i="4"/>
  <c r="AH116" i="4"/>
  <c r="A132" i="4"/>
  <c r="AI132" i="4"/>
  <c r="AH132" i="4"/>
  <c r="AH52" i="4"/>
  <c r="AI52" i="4"/>
  <c r="AI25" i="4"/>
  <c r="AH25" i="4"/>
  <c r="AI9" i="4"/>
  <c r="AI49" i="4"/>
  <c r="AH49" i="4"/>
  <c r="AI7" i="4"/>
  <c r="AH7" i="4"/>
  <c r="AH28" i="4"/>
  <c r="AI28" i="4"/>
  <c r="AH42" i="4"/>
  <c r="AI42" i="4"/>
  <c r="AI67" i="4"/>
  <c r="AH67" i="4"/>
  <c r="AI87" i="4"/>
  <c r="AH87" i="4"/>
  <c r="AI95" i="4"/>
  <c r="AH95" i="4"/>
  <c r="AI55" i="4"/>
  <c r="AH55" i="4"/>
  <c r="AH74" i="4"/>
  <c r="AI74" i="4"/>
  <c r="AH90" i="4"/>
  <c r="AI90" i="4"/>
  <c r="AI110" i="4"/>
  <c r="AH110" i="4"/>
  <c r="AH88" i="4"/>
  <c r="AI88" i="4"/>
  <c r="A140" i="4"/>
  <c r="AH140" i="4"/>
  <c r="AI140" i="4"/>
  <c r="A117" i="4"/>
  <c r="AH117" i="4"/>
  <c r="AI117" i="4"/>
  <c r="A137" i="4"/>
  <c r="AH137" i="4"/>
  <c r="AI137" i="4"/>
  <c r="AI111" i="4"/>
  <c r="A122" i="4"/>
  <c r="AI122" i="4"/>
  <c r="AH122" i="4"/>
  <c r="A130" i="4"/>
  <c r="AI130" i="4"/>
  <c r="AH130" i="4"/>
  <c r="A138" i="4"/>
  <c r="AH138" i="4"/>
  <c r="AI138" i="4"/>
  <c r="AH80" i="4"/>
  <c r="AI80" i="4"/>
  <c r="A135" i="4"/>
  <c r="AH135" i="4"/>
  <c r="AI135" i="4"/>
  <c r="AI23" i="4"/>
  <c r="AH23" i="4"/>
  <c r="AH62" i="4"/>
  <c r="AI62" i="4"/>
  <c r="A119" i="4"/>
  <c r="AH119" i="4"/>
  <c r="AI119" i="4"/>
  <c r="AI19" i="4"/>
  <c r="AH19" i="4"/>
  <c r="A139" i="4"/>
  <c r="AH139" i="4"/>
  <c r="AI139" i="4"/>
  <c r="AI37" i="4"/>
  <c r="AH37" i="4"/>
  <c r="AH46" i="4"/>
  <c r="AI46" i="4"/>
  <c r="AH105" i="4"/>
  <c r="AI105" i="4"/>
  <c r="AI16" i="4"/>
  <c r="AH8" i="4"/>
  <c r="AI8" i="4"/>
  <c r="I19" i="2"/>
  <c r="I21" i="2"/>
  <c r="I18" i="2"/>
  <c r="H21" i="2"/>
  <c r="G17" i="2"/>
  <c r="G21" i="2"/>
  <c r="H19" i="2"/>
  <c r="G20" i="2"/>
  <c r="H20" i="2"/>
  <c r="G19" i="2"/>
  <c r="G18" i="2"/>
  <c r="A85" i="4"/>
  <c r="A20" i="4"/>
  <c r="A42" i="4"/>
  <c r="A98" i="4"/>
  <c r="A37" i="4"/>
  <c r="A22" i="4"/>
  <c r="A28" i="4"/>
  <c r="A57" i="4"/>
  <c r="A94" i="4"/>
  <c r="A95" i="4"/>
  <c r="A84" i="4"/>
  <c r="A115" i="4"/>
  <c r="A35" i="4"/>
  <c r="A26" i="4"/>
  <c r="A64" i="4"/>
  <c r="A48" i="4"/>
  <c r="A69" i="4"/>
  <c r="A83" i="4"/>
  <c r="A89" i="4"/>
  <c r="A97" i="4"/>
  <c r="A63" i="4"/>
  <c r="A70" i="4"/>
  <c r="A82" i="4"/>
  <c r="A100" i="4"/>
  <c r="A47" i="4"/>
  <c r="A45" i="4"/>
  <c r="A46" i="4"/>
  <c r="A8" i="4"/>
  <c r="A73" i="4"/>
  <c r="A25" i="4"/>
  <c r="A67" i="4"/>
  <c r="A87" i="4"/>
  <c r="A72" i="4"/>
  <c r="A27" i="4"/>
  <c r="A36" i="4"/>
  <c r="A41" i="4"/>
  <c r="A65" i="4"/>
  <c r="A24" i="4"/>
  <c r="A71" i="4"/>
  <c r="A91" i="4"/>
  <c r="A99" i="4"/>
  <c r="A55" i="4"/>
  <c r="A90" i="4"/>
  <c r="A110" i="4"/>
  <c r="A88" i="4"/>
  <c r="A80" i="4"/>
  <c r="A23" i="4"/>
  <c r="A62" i="4"/>
  <c r="A19" i="4"/>
  <c r="A34" i="4"/>
  <c r="A49" i="4"/>
  <c r="A81" i="4"/>
  <c r="A92" i="4"/>
  <c r="A116" i="4"/>
  <c r="A52" i="4"/>
  <c r="A39" i="4"/>
  <c r="A56" i="4"/>
  <c r="A6" i="4"/>
  <c r="J141" i="4"/>
  <c r="J14" i="4"/>
  <c r="J59" i="4"/>
  <c r="J64" i="4"/>
  <c r="AF64" i="4" a="1"/>
  <c r="AF64" i="4" s="1"/>
  <c r="AR64" i="4" s="1"/>
  <c r="J48" i="4"/>
  <c r="J69" i="4"/>
  <c r="J77" i="4"/>
  <c r="AF83" i="4" a="1"/>
  <c r="AF83" i="4" s="1"/>
  <c r="AR83" i="4" s="1"/>
  <c r="J83" i="4"/>
  <c r="J89" i="4"/>
  <c r="J97" i="4"/>
  <c r="AF63" i="4" a="1"/>
  <c r="AF63" i="4" s="1"/>
  <c r="AR63" i="4" s="1"/>
  <c r="J63" i="4"/>
  <c r="J70" i="4"/>
  <c r="J86" i="4"/>
  <c r="J102" i="4"/>
  <c r="AF82" i="4" a="1"/>
  <c r="AF82" i="4" s="1"/>
  <c r="AR82" i="4" s="1"/>
  <c r="J82" i="4"/>
  <c r="J100" i="4"/>
  <c r="J47" i="4"/>
  <c r="J127" i="4"/>
  <c r="J61" i="4"/>
  <c r="AF120" i="4" a="1"/>
  <c r="AF120" i="4" s="1"/>
  <c r="AR120" i="4" s="1"/>
  <c r="J120" i="4"/>
  <c r="J128" i="4"/>
  <c r="AF136" i="4" a="1"/>
  <c r="AF136" i="4" s="1"/>
  <c r="J136" i="4"/>
  <c r="J76" i="4"/>
  <c r="AF131" i="4" a="1"/>
  <c r="AF131" i="4" s="1"/>
  <c r="J131" i="4"/>
  <c r="J17" i="4"/>
  <c r="J114" i="4"/>
  <c r="J29" i="4"/>
  <c r="J12" i="4"/>
  <c r="J45" i="4"/>
  <c r="J9" i="4"/>
  <c r="J129" i="4"/>
  <c r="J46" i="4"/>
  <c r="J105" i="4"/>
  <c r="J16" i="4"/>
  <c r="J8" i="4"/>
  <c r="J15" i="4"/>
  <c r="J65" i="4"/>
  <c r="AF65" i="4" a="1"/>
  <c r="AF65" i="4" s="1"/>
  <c r="AR65" i="4" s="1"/>
  <c r="J24" i="4"/>
  <c r="J54" i="4"/>
  <c r="J71" i="4"/>
  <c r="J79" i="4"/>
  <c r="J91" i="4"/>
  <c r="J99" i="4"/>
  <c r="J55" i="4"/>
  <c r="J74" i="4"/>
  <c r="J90" i="4"/>
  <c r="J110" i="4"/>
  <c r="J88" i="4"/>
  <c r="AF140" i="4" a="1"/>
  <c r="AF140" i="4" s="1"/>
  <c r="J140" i="4"/>
  <c r="J117" i="4"/>
  <c r="AF117" i="4" a="1"/>
  <c r="AF117" i="4" s="1"/>
  <c r="I117" i="4" s="1"/>
  <c r="AF137" i="4" a="1"/>
  <c r="AF137" i="4" s="1"/>
  <c r="J137" i="4"/>
  <c r="J111" i="4"/>
  <c r="J122" i="4"/>
  <c r="J130" i="4"/>
  <c r="J138" i="4"/>
  <c r="AF138" i="4" a="1"/>
  <c r="AF138" i="4" s="1"/>
  <c r="J80" i="4"/>
  <c r="AF135" i="4" a="1"/>
  <c r="AF135" i="4" s="1"/>
  <c r="J135" i="4"/>
  <c r="J23" i="4"/>
  <c r="AF62" i="4" a="1"/>
  <c r="AF62" i="4" s="1"/>
  <c r="AR62" i="4" s="1"/>
  <c r="J62" i="4"/>
  <c r="J119" i="4"/>
  <c r="AF119" i="4" a="1"/>
  <c r="AF119" i="4" s="1"/>
  <c r="I119" i="4" s="1"/>
  <c r="AF19" i="4" a="1"/>
  <c r="AF19" i="4" s="1"/>
  <c r="AR19" i="4" s="1"/>
  <c r="J19" i="4"/>
  <c r="J112" i="4"/>
  <c r="J133" i="4"/>
  <c r="AF133" i="4" a="1"/>
  <c r="AF133" i="4" s="1"/>
  <c r="AF34" i="4" a="1"/>
  <c r="AF34" i="4" s="1"/>
  <c r="AR34" i="4" s="1"/>
  <c r="J34" i="4"/>
  <c r="J49" i="4"/>
  <c r="J7" i="4"/>
  <c r="J28" i="4"/>
  <c r="J73" i="4"/>
  <c r="J81" i="4"/>
  <c r="AF81" i="4" a="1"/>
  <c r="AF81" i="4" s="1"/>
  <c r="AR81" i="4" s="1"/>
  <c r="J85" i="4"/>
  <c r="J93" i="4"/>
  <c r="J57" i="4"/>
  <c r="J66" i="4"/>
  <c r="J78" i="4"/>
  <c r="J94" i="4"/>
  <c r="J68" i="4"/>
  <c r="J92" i="4"/>
  <c r="J40" i="4"/>
  <c r="J121" i="4"/>
  <c r="J38" i="4"/>
  <c r="J116" i="4"/>
  <c r="J124" i="4"/>
  <c r="AF132" i="4" a="1"/>
  <c r="AF132" i="4" s="1"/>
  <c r="J132" i="4"/>
  <c r="J52" i="4"/>
  <c r="J20" i="4"/>
  <c r="AF20" i="4" a="1"/>
  <c r="AF20" i="4" s="1"/>
  <c r="AR20" i="4" s="1"/>
  <c r="J25" i="4"/>
  <c r="J18" i="4"/>
  <c r="J125" i="4"/>
  <c r="J10" i="4"/>
  <c r="J30" i="4"/>
  <c r="J33" i="4"/>
  <c r="J39" i="4"/>
  <c r="J56" i="4"/>
  <c r="J51" i="4"/>
  <c r="J60" i="4"/>
  <c r="J42" i="4"/>
  <c r="J75" i="4"/>
  <c r="J87" i="4"/>
  <c r="J95" i="4"/>
  <c r="J101" i="4"/>
  <c r="J58" i="4"/>
  <c r="J50" i="4"/>
  <c r="J84" i="4"/>
  <c r="AF84" i="4" a="1"/>
  <c r="AF84" i="4" s="1"/>
  <c r="AR84" i="4" s="1"/>
  <c r="J98" i="4"/>
  <c r="J72" i="4"/>
  <c r="J96" i="4"/>
  <c r="J44" i="4"/>
  <c r="J123" i="4"/>
  <c r="J53" i="4"/>
  <c r="AF118" i="4" a="1"/>
  <c r="AF118" i="4" s="1"/>
  <c r="AR118" i="4" s="1"/>
  <c r="J118" i="4"/>
  <c r="J126" i="4"/>
  <c r="AF134" i="4" a="1"/>
  <c r="AF134" i="4" s="1"/>
  <c r="J134" i="4"/>
  <c r="J32" i="4"/>
  <c r="J115" i="4"/>
  <c r="J21" i="4"/>
  <c r="AF35" i="4" a="1"/>
  <c r="AF35" i="4" s="1"/>
  <c r="AR35" i="4" s="1"/>
  <c r="J35" i="4"/>
  <c r="J27" i="4"/>
  <c r="J11" i="4"/>
  <c r="J31" i="4"/>
  <c r="J139" i="4"/>
  <c r="AF139" i="4" a="1"/>
  <c r="AF139" i="4" s="1"/>
  <c r="J13" i="4"/>
  <c r="J37" i="4"/>
  <c r="J36" i="4"/>
  <c r="AF36" i="4" a="1"/>
  <c r="AF36" i="4" s="1"/>
  <c r="AR36" i="4" s="1"/>
  <c r="J22" i="4"/>
  <c r="J113" i="4"/>
  <c r="J41" i="4"/>
  <c r="J26" i="4"/>
  <c r="E16" i="2"/>
  <c r="J6" i="4"/>
  <c r="O4" i="4"/>
  <c r="R4" i="4"/>
  <c r="N4" i="4"/>
  <c r="P4" i="4"/>
  <c r="Q4" i="4"/>
  <c r="U4" i="4"/>
  <c r="N120" i="2"/>
  <c r="N28" i="2"/>
  <c r="N66" i="2"/>
  <c r="N36" i="2"/>
  <c r="N98" i="2"/>
  <c r="N80" i="2"/>
  <c r="N102" i="2"/>
  <c r="N30" i="2"/>
  <c r="N45" i="2"/>
  <c r="N84" i="2"/>
  <c r="N109" i="2"/>
  <c r="N91" i="2"/>
  <c r="N116" i="2"/>
  <c r="N25" i="2"/>
  <c r="N27" i="2"/>
  <c r="N81" i="2"/>
  <c r="N47" i="2"/>
  <c r="N75" i="2"/>
  <c r="N82" i="2"/>
  <c r="N89" i="2"/>
  <c r="N93" i="2"/>
  <c r="N100" i="2"/>
  <c r="N107" i="2"/>
  <c r="N111" i="2"/>
  <c r="N118" i="2"/>
  <c r="N46" i="2"/>
  <c r="N92" i="2"/>
  <c r="N99" i="2"/>
  <c r="N110" i="2"/>
  <c r="N117" i="2"/>
  <c r="N48" i="2"/>
  <c r="N63" i="2"/>
  <c r="N83" i="2"/>
  <c r="N90" i="2"/>
  <c r="N101" i="2"/>
  <c r="N108" i="2"/>
  <c r="N119" i="2"/>
  <c r="N115" i="2"/>
  <c r="N106" i="2"/>
  <c r="N97" i="2"/>
  <c r="N88" i="2"/>
  <c r="N79" i="2"/>
  <c r="N52" i="2"/>
  <c r="N43" i="2"/>
  <c r="X107" i="4" l="1"/>
  <c r="X18" i="4"/>
  <c r="V107" i="4"/>
  <c r="V18" i="4"/>
  <c r="Z107" i="4"/>
  <c r="Z18" i="4"/>
  <c r="W107" i="4"/>
  <c r="W18" i="4"/>
  <c r="Y107" i="4"/>
  <c r="Y18" i="4"/>
  <c r="AC107" i="4"/>
  <c r="AC18" i="4"/>
  <c r="W17" i="4"/>
  <c r="W106" i="4"/>
  <c r="AC17" i="4"/>
  <c r="AC106" i="4"/>
  <c r="Y17" i="4"/>
  <c r="Y106" i="4"/>
  <c r="X17" i="4"/>
  <c r="X106" i="4"/>
  <c r="V17" i="4"/>
  <c r="V106" i="4"/>
  <c r="Z17" i="4"/>
  <c r="Z106" i="4"/>
  <c r="I16" i="2"/>
  <c r="K16" i="2"/>
  <c r="J16" i="2"/>
  <c r="AL95" i="4"/>
  <c r="C95" i="4" s="1"/>
  <c r="AL48" i="4"/>
  <c r="C48" i="4" s="1"/>
  <c r="AL52" i="4"/>
  <c r="C52" i="4" s="1"/>
  <c r="AL87" i="4"/>
  <c r="C87" i="4" s="1"/>
  <c r="AL85" i="4"/>
  <c r="C85" i="4" s="1"/>
  <c r="AL26" i="4"/>
  <c r="C26" i="4" s="1"/>
  <c r="AL120" i="4"/>
  <c r="C120" i="4" s="1"/>
  <c r="AL47" i="4"/>
  <c r="C47" i="4" s="1"/>
  <c r="AL91" i="4"/>
  <c r="C91" i="4" s="1"/>
  <c r="AL8" i="4"/>
  <c r="C8" i="4" s="1"/>
  <c r="AL88" i="4"/>
  <c r="C88" i="4" s="1"/>
  <c r="AL36" i="4"/>
  <c r="C36" i="4" s="1"/>
  <c r="AL62" i="4"/>
  <c r="C62" i="4" s="1"/>
  <c r="AL22" i="4"/>
  <c r="C22" i="4" s="1"/>
  <c r="AL70" i="4"/>
  <c r="C70" i="4" s="1"/>
  <c r="AL81" i="4"/>
  <c r="C81" i="4" s="1"/>
  <c r="AL73" i="4"/>
  <c r="C73" i="4" s="1"/>
  <c r="AL83" i="4"/>
  <c r="C83" i="4" s="1"/>
  <c r="AL64" i="4"/>
  <c r="C64" i="4" s="1"/>
  <c r="AL90" i="4"/>
  <c r="C90" i="4" s="1"/>
  <c r="AL37" i="4"/>
  <c r="C37" i="4" s="1"/>
  <c r="AL19" i="4"/>
  <c r="C19" i="4" s="1"/>
  <c r="AR119" i="4"/>
  <c r="AL42" i="4"/>
  <c r="C42" i="4" s="1"/>
  <c r="AL89" i="4"/>
  <c r="C89" i="4" s="1"/>
  <c r="AL65" i="4"/>
  <c r="C65" i="4" s="1"/>
  <c r="AL92" i="4"/>
  <c r="C92" i="4" s="1"/>
  <c r="AL56" i="4"/>
  <c r="C56" i="4" s="1"/>
  <c r="AL27" i="4"/>
  <c r="C27" i="4" s="1"/>
  <c r="AL115" i="4"/>
  <c r="C115" i="4" s="1"/>
  <c r="AL118" i="4"/>
  <c r="C118" i="4" s="1"/>
  <c r="AL72" i="4"/>
  <c r="C72" i="4" s="1"/>
  <c r="AL25" i="4"/>
  <c r="C25" i="4" s="1"/>
  <c r="AL116" i="4"/>
  <c r="C116" i="4" s="1"/>
  <c r="AL67" i="4"/>
  <c r="C67" i="4" s="1"/>
  <c r="AL82" i="4"/>
  <c r="C82" i="4" s="1"/>
  <c r="AR117" i="4"/>
  <c r="AL110" i="4"/>
  <c r="C110" i="4" s="1"/>
  <c r="AL55" i="4"/>
  <c r="C55" i="4" s="1"/>
  <c r="AL20" i="4"/>
  <c r="C20" i="4" s="1"/>
  <c r="AL6" i="4"/>
  <c r="C6" i="4" s="1"/>
  <c r="AL41" i="4"/>
  <c r="C41" i="4" s="1"/>
  <c r="AL45" i="4"/>
  <c r="C45" i="4" s="1"/>
  <c r="AL94" i="4"/>
  <c r="C94" i="4" s="1"/>
  <c r="AL35" i="4"/>
  <c r="C35" i="4" s="1"/>
  <c r="AL98" i="4"/>
  <c r="C98" i="4" s="1"/>
  <c r="AL99" i="4"/>
  <c r="C99" i="4" s="1"/>
  <c r="AL71" i="4"/>
  <c r="C71" i="4" s="1"/>
  <c r="AL49" i="4"/>
  <c r="C49" i="4" s="1"/>
  <c r="AL97" i="4"/>
  <c r="C97" i="4" s="1"/>
  <c r="AL77" i="4"/>
  <c r="C77" i="4" s="1"/>
  <c r="AL46" i="4"/>
  <c r="C46" i="4" s="1"/>
  <c r="AL119" i="4"/>
  <c r="C119" i="4" s="1"/>
  <c r="AL23" i="4"/>
  <c r="C23" i="4" s="1"/>
  <c r="AL80" i="4"/>
  <c r="C80" i="4" s="1"/>
  <c r="AL117" i="4"/>
  <c r="C117" i="4" s="1"/>
  <c r="AL28" i="4"/>
  <c r="C28" i="4" s="1"/>
  <c r="AL100" i="4"/>
  <c r="C100" i="4" s="1"/>
  <c r="AL63" i="4"/>
  <c r="C63" i="4" s="1"/>
  <c r="AL57" i="4"/>
  <c r="C57" i="4" s="1"/>
  <c r="AL69" i="4"/>
  <c r="C69" i="4" s="1"/>
  <c r="AL39" i="4"/>
  <c r="C39" i="4" s="1"/>
  <c r="AL34" i="4"/>
  <c r="C34" i="4" s="1"/>
  <c r="AL84" i="4"/>
  <c r="C84" i="4" s="1"/>
  <c r="AL24" i="4"/>
  <c r="C24" i="4" s="1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Y60" i="4"/>
  <c r="Y51" i="4"/>
  <c r="Y58" i="4"/>
  <c r="Y53" i="4"/>
  <c r="Y41" i="4"/>
  <c r="Y43" i="4"/>
  <c r="Y46" i="4"/>
  <c r="Y56" i="4"/>
  <c r="Y38" i="4"/>
  <c r="Y45" i="4"/>
  <c r="Y54" i="4"/>
  <c r="Y42" i="4"/>
  <c r="Y49" i="4"/>
  <c r="Y55" i="4"/>
  <c r="Y47" i="4"/>
  <c r="Y52" i="4"/>
  <c r="Y59" i="4"/>
  <c r="Y50" i="4"/>
  <c r="Y61" i="4"/>
  <c r="Y40" i="4"/>
  <c r="Y39" i="4"/>
  <c r="Y44" i="4"/>
  <c r="Y57" i="4"/>
  <c r="Y48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AC39" i="4"/>
  <c r="AC47" i="4"/>
  <c r="AC41" i="4"/>
  <c r="AC49" i="4"/>
  <c r="AC43" i="4"/>
  <c r="AC45" i="4"/>
  <c r="AC51" i="4"/>
  <c r="AC55" i="4"/>
  <c r="AC59" i="4"/>
  <c r="AC46" i="4"/>
  <c r="AC56" i="4"/>
  <c r="AC53" i="4"/>
  <c r="AC38" i="4"/>
  <c r="AC42" i="4"/>
  <c r="AC50" i="4"/>
  <c r="AC52" i="4"/>
  <c r="AC40" i="4"/>
  <c r="AC61" i="4"/>
  <c r="AC58" i="4"/>
  <c r="AC44" i="4"/>
  <c r="AC48" i="4"/>
  <c r="AC60" i="4"/>
  <c r="AC57" i="4"/>
  <c r="AC54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Z98" i="4"/>
  <c r="Z99" i="4"/>
  <c r="Z100" i="4"/>
  <c r="Z101" i="4"/>
  <c r="Z102" i="4"/>
  <c r="Z104" i="4"/>
  <c r="Z105" i="4"/>
  <c r="Z110" i="4"/>
  <c r="Y101" i="4"/>
  <c r="Y102" i="4"/>
  <c r="Y98" i="4"/>
  <c r="Y99" i="4"/>
  <c r="Y100" i="4"/>
  <c r="Y104" i="4"/>
  <c r="Y105" i="4"/>
  <c r="Y110" i="4"/>
  <c r="W98" i="4"/>
  <c r="W99" i="4"/>
  <c r="W100" i="4"/>
  <c r="W101" i="4"/>
  <c r="W102" i="4"/>
  <c r="W104" i="4"/>
  <c r="W105" i="4"/>
  <c r="W110" i="4"/>
  <c r="X98" i="4"/>
  <c r="X99" i="4"/>
  <c r="X100" i="4"/>
  <c r="X101" i="4"/>
  <c r="X102" i="4"/>
  <c r="X104" i="4"/>
  <c r="X105" i="4"/>
  <c r="X110" i="4"/>
  <c r="AC100" i="4"/>
  <c r="AC110" i="4"/>
  <c r="AC99" i="4"/>
  <c r="AC102" i="4"/>
  <c r="AC105" i="4"/>
  <c r="AC104" i="4"/>
  <c r="AC98" i="4"/>
  <c r="AC101" i="4"/>
  <c r="V98" i="4"/>
  <c r="V99" i="4"/>
  <c r="V100" i="4"/>
  <c r="V101" i="4"/>
  <c r="V102" i="4"/>
  <c r="V104" i="4"/>
  <c r="V105" i="4"/>
  <c r="V110" i="4"/>
  <c r="W33" i="4"/>
  <c r="AC33" i="4"/>
  <c r="V33" i="4"/>
  <c r="Z33" i="4"/>
  <c r="Y33" i="4"/>
  <c r="X33" i="4"/>
  <c r="X75" i="4"/>
  <c r="X74" i="4"/>
  <c r="N21" i="2"/>
  <c r="G16" i="2"/>
  <c r="H16" i="2"/>
  <c r="AD9" i="2"/>
  <c r="AC4" i="2"/>
  <c r="AC5" i="2"/>
  <c r="AC3" i="2"/>
  <c r="N50" i="2"/>
  <c r="AC7" i="2"/>
  <c r="AD10" i="2"/>
  <c r="V10" i="2" s="1"/>
  <c r="AD3" i="2"/>
  <c r="I118" i="4"/>
  <c r="AD6" i="2"/>
  <c r="AG6" i="2"/>
  <c r="AG10" i="2"/>
  <c r="Y10" i="2" s="1"/>
  <c r="AE10" i="2"/>
  <c r="W10" i="2" s="1"/>
  <c r="AF6" i="2"/>
  <c r="AJ11" i="2"/>
  <c r="AB11" i="2" s="1"/>
  <c r="AH10" i="2"/>
  <c r="Z10" i="2" s="1"/>
  <c r="AJ3" i="2"/>
  <c r="AB3" i="2" s="1"/>
  <c r="AJ5" i="2"/>
  <c r="AB5" i="2" s="1"/>
  <c r="AG4" i="2"/>
  <c r="AE6" i="2"/>
  <c r="AG11" i="2"/>
  <c r="Y11" i="2" s="1"/>
  <c r="AD11" i="2"/>
  <c r="V11" i="2" s="1"/>
  <c r="AE4" i="2"/>
  <c r="AI11" i="2"/>
  <c r="AH11" i="2"/>
  <c r="Z11" i="2" s="1"/>
  <c r="AH4" i="2"/>
  <c r="AJ4" i="2"/>
  <c r="AB4" i="2" s="1"/>
  <c r="AJ6" i="2"/>
  <c r="AB6" i="2" s="1"/>
  <c r="AJ8" i="2"/>
  <c r="AB8" i="2" s="1"/>
  <c r="AJ9" i="2"/>
  <c r="AB9" i="2" s="1"/>
  <c r="AH6" i="2"/>
  <c r="AJ10" i="2"/>
  <c r="AB10" i="2" s="1"/>
  <c r="AI10" i="2"/>
  <c r="AC10" i="2"/>
  <c r="U10" i="2" s="1"/>
  <c r="AC11" i="2"/>
  <c r="U11" i="2" s="1"/>
  <c r="AI6" i="2"/>
  <c r="AJ7" i="2"/>
  <c r="AB7" i="2" s="1"/>
  <c r="AF5" i="2"/>
  <c r="AD4" i="2"/>
  <c r="AE11" i="2"/>
  <c r="W11" i="2" s="1"/>
  <c r="AF11" i="2"/>
  <c r="X11" i="2" s="1"/>
  <c r="AF10" i="2"/>
  <c r="X10" i="2" s="1"/>
  <c r="I120" i="4"/>
  <c r="AA67" i="4"/>
  <c r="AA70" i="4"/>
  <c r="AA77" i="4"/>
  <c r="AA121" i="4"/>
  <c r="AA28" i="4"/>
  <c r="W8" i="4"/>
  <c r="W9" i="4"/>
  <c r="W10" i="4"/>
  <c r="W11" i="4"/>
  <c r="W12" i="4"/>
  <c r="W13" i="4"/>
  <c r="W14" i="4"/>
  <c r="W15" i="4"/>
  <c r="W16" i="4"/>
  <c r="W21" i="4"/>
  <c r="W23" i="4"/>
  <c r="W25" i="4"/>
  <c r="W27" i="4"/>
  <c r="W29" i="4"/>
  <c r="W31" i="4"/>
  <c r="W37" i="4"/>
  <c r="W24" i="4"/>
  <c r="W28" i="4"/>
  <c r="W32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111" i="4"/>
  <c r="W112" i="4"/>
  <c r="W113" i="4"/>
  <c r="W114" i="4"/>
  <c r="W115" i="4"/>
  <c r="W66" i="4"/>
  <c r="W30" i="4"/>
  <c r="W22" i="4"/>
  <c r="W123" i="4"/>
  <c r="W130" i="4"/>
  <c r="W122" i="4"/>
  <c r="W125" i="4"/>
  <c r="W26" i="4"/>
  <c r="W127" i="4"/>
  <c r="W124" i="4"/>
  <c r="W129" i="4"/>
  <c r="W121" i="4"/>
  <c r="W128" i="4"/>
  <c r="W116" i="4"/>
  <c r="W126" i="4"/>
  <c r="AC8" i="4"/>
  <c r="AC9" i="4"/>
  <c r="AC10" i="4"/>
  <c r="AC11" i="4"/>
  <c r="AC12" i="4"/>
  <c r="AC13" i="4"/>
  <c r="AC14" i="4"/>
  <c r="AC15" i="4"/>
  <c r="AC16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7" i="4"/>
  <c r="AC116" i="4"/>
  <c r="AC121" i="4"/>
  <c r="AC122" i="4"/>
  <c r="AC123" i="4"/>
  <c r="AC124" i="4"/>
  <c r="AC125" i="4"/>
  <c r="AC126" i="4"/>
  <c r="AC127" i="4"/>
  <c r="AC128" i="4"/>
  <c r="AC129" i="4"/>
  <c r="AC130" i="4"/>
  <c r="AC67" i="4"/>
  <c r="AC69" i="4"/>
  <c r="AC71" i="4"/>
  <c r="AC73" i="4"/>
  <c r="AC75" i="4"/>
  <c r="AC77" i="4"/>
  <c r="AC79" i="4"/>
  <c r="AC85" i="4"/>
  <c r="AC87" i="4"/>
  <c r="AC89" i="4"/>
  <c r="AC91" i="4"/>
  <c r="AC93" i="4"/>
  <c r="AC95" i="4"/>
  <c r="AC97" i="4"/>
  <c r="AC113" i="4"/>
  <c r="AC70" i="4"/>
  <c r="AC74" i="4"/>
  <c r="AC78" i="4"/>
  <c r="AC86" i="4"/>
  <c r="AC90" i="4"/>
  <c r="AC114" i="4"/>
  <c r="AC66" i="4"/>
  <c r="AC94" i="4"/>
  <c r="AC92" i="4"/>
  <c r="AC88" i="4"/>
  <c r="AC72" i="4"/>
  <c r="AC68" i="4"/>
  <c r="AC115" i="4"/>
  <c r="AC96" i="4"/>
  <c r="AC112" i="4"/>
  <c r="AC80" i="4"/>
  <c r="AC76" i="4"/>
  <c r="AC111" i="4"/>
  <c r="V8" i="4"/>
  <c r="V9" i="4"/>
  <c r="V13" i="4"/>
  <c r="V21" i="4"/>
  <c r="V23" i="4"/>
  <c r="V25" i="4"/>
  <c r="V27" i="4"/>
  <c r="V29" i="4"/>
  <c r="V31" i="4"/>
  <c r="V37" i="4"/>
  <c r="V12" i="4"/>
  <c r="V16" i="4"/>
  <c r="V14" i="4"/>
  <c r="V66" i="4"/>
  <c r="V15" i="4"/>
  <c r="V22" i="4"/>
  <c r="V26" i="4"/>
  <c r="V30" i="4"/>
  <c r="V28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24" i="4"/>
  <c r="V112" i="4"/>
  <c r="V113" i="4"/>
  <c r="V116" i="4"/>
  <c r="V121" i="4"/>
  <c r="V122" i="4"/>
  <c r="V123" i="4"/>
  <c r="V124" i="4"/>
  <c r="V125" i="4"/>
  <c r="V126" i="4"/>
  <c r="V127" i="4"/>
  <c r="V128" i="4"/>
  <c r="V129" i="4"/>
  <c r="V130" i="4"/>
  <c r="V10" i="4"/>
  <c r="V115" i="4"/>
  <c r="V111" i="4"/>
  <c r="V32" i="4"/>
  <c r="V114" i="4"/>
  <c r="V11" i="4"/>
  <c r="AB28" i="4"/>
  <c r="AB67" i="4"/>
  <c r="AB77" i="4"/>
  <c r="AB121" i="4"/>
  <c r="AB70" i="4"/>
  <c r="X8" i="4"/>
  <c r="X9" i="4"/>
  <c r="X10" i="4"/>
  <c r="X11" i="4"/>
  <c r="X12" i="4"/>
  <c r="X13" i="4"/>
  <c r="X14" i="4"/>
  <c r="X15" i="4"/>
  <c r="X16" i="4"/>
  <c r="X21" i="4"/>
  <c r="X22" i="4"/>
  <c r="X23" i="4"/>
  <c r="X24" i="4"/>
  <c r="X25" i="4"/>
  <c r="X26" i="4"/>
  <c r="X27" i="4"/>
  <c r="X28" i="4"/>
  <c r="X29" i="4"/>
  <c r="X30" i="4"/>
  <c r="X31" i="4"/>
  <c r="X32" i="4"/>
  <c r="X37" i="4"/>
  <c r="X111" i="4"/>
  <c r="X115" i="4"/>
  <c r="X66" i="4"/>
  <c r="X67" i="4"/>
  <c r="X71" i="4"/>
  <c r="X79" i="4"/>
  <c r="X87" i="4"/>
  <c r="X91" i="4"/>
  <c r="X95" i="4"/>
  <c r="X69" i="4"/>
  <c r="X85" i="4"/>
  <c r="X89" i="4"/>
  <c r="X93" i="4"/>
  <c r="X97" i="4"/>
  <c r="X121" i="4"/>
  <c r="X123" i="4"/>
  <c r="X125" i="4"/>
  <c r="X127" i="4"/>
  <c r="X129" i="4"/>
  <c r="X73" i="4"/>
  <c r="X77" i="4"/>
  <c r="X113" i="4"/>
  <c r="X114" i="4"/>
  <c r="X126" i="4"/>
  <c r="X76" i="4"/>
  <c r="X92" i="4"/>
  <c r="X112" i="4"/>
  <c r="X78" i="4"/>
  <c r="X70" i="4"/>
  <c r="X130" i="4"/>
  <c r="X122" i="4"/>
  <c r="X80" i="4"/>
  <c r="X96" i="4"/>
  <c r="X128" i="4"/>
  <c r="X68" i="4"/>
  <c r="X90" i="4"/>
  <c r="X124" i="4"/>
  <c r="X116" i="4"/>
  <c r="X72" i="4"/>
  <c r="X94" i="4"/>
  <c r="X86" i="4"/>
  <c r="X88" i="4"/>
  <c r="Y8" i="4"/>
  <c r="Y9" i="4"/>
  <c r="Y10" i="4"/>
  <c r="Y11" i="4"/>
  <c r="Y12" i="4"/>
  <c r="Y13" i="4"/>
  <c r="Y14" i="4"/>
  <c r="Y15" i="4"/>
  <c r="Y16" i="4"/>
  <c r="Y21" i="4"/>
  <c r="Y22" i="4"/>
  <c r="Y23" i="4"/>
  <c r="Y24" i="4"/>
  <c r="Y25" i="4"/>
  <c r="Y26" i="4"/>
  <c r="Y27" i="4"/>
  <c r="Y28" i="4"/>
  <c r="Y29" i="4"/>
  <c r="Y30" i="4"/>
  <c r="Y31" i="4"/>
  <c r="Y32" i="4"/>
  <c r="Y37" i="4"/>
  <c r="Y66" i="4"/>
  <c r="Y114" i="4"/>
  <c r="Y116" i="4"/>
  <c r="Y121" i="4"/>
  <c r="Y122" i="4"/>
  <c r="Y123" i="4"/>
  <c r="Y124" i="4"/>
  <c r="Y125" i="4"/>
  <c r="Y126" i="4"/>
  <c r="Y127" i="4"/>
  <c r="Y128" i="4"/>
  <c r="Y129" i="4"/>
  <c r="Y130" i="4"/>
  <c r="Y112" i="4"/>
  <c r="Y69" i="4"/>
  <c r="Y93" i="4"/>
  <c r="Y67" i="4"/>
  <c r="Y71" i="4"/>
  <c r="Y75" i="4"/>
  <c r="Y79" i="4"/>
  <c r="Y87" i="4"/>
  <c r="Y91" i="4"/>
  <c r="Y95" i="4"/>
  <c r="Y73" i="4"/>
  <c r="Y77" i="4"/>
  <c r="Y85" i="4"/>
  <c r="Y89" i="4"/>
  <c r="Y97" i="4"/>
  <c r="Y113" i="4"/>
  <c r="Y92" i="4"/>
  <c r="Y86" i="4"/>
  <c r="Y96" i="4"/>
  <c r="Y68" i="4"/>
  <c r="Y74" i="4"/>
  <c r="Y76" i="4"/>
  <c r="Y70" i="4"/>
  <c r="Y72" i="4"/>
  <c r="Y80" i="4"/>
  <c r="Y78" i="4"/>
  <c r="Y88" i="4"/>
  <c r="Y94" i="4"/>
  <c r="Y111" i="4"/>
  <c r="Y115" i="4"/>
  <c r="Y90" i="4"/>
  <c r="Z8" i="4"/>
  <c r="Z9" i="4"/>
  <c r="Z13" i="4"/>
  <c r="Z66" i="4"/>
  <c r="Z12" i="4"/>
  <c r="Z23" i="4"/>
  <c r="Z27" i="4"/>
  <c r="Z31" i="4"/>
  <c r="Z37" i="4"/>
  <c r="Z25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29" i="4"/>
  <c r="Z113" i="4"/>
  <c r="Z21" i="4"/>
  <c r="Z116" i="4"/>
  <c r="Z121" i="4"/>
  <c r="Z122" i="4"/>
  <c r="Z123" i="4"/>
  <c r="Z124" i="4"/>
  <c r="Z125" i="4"/>
  <c r="Z126" i="4"/>
  <c r="Z127" i="4"/>
  <c r="Z128" i="4"/>
  <c r="Z129" i="4"/>
  <c r="Z130" i="4"/>
  <c r="Z15" i="4"/>
  <c r="Z111" i="4"/>
  <c r="Z16" i="4"/>
  <c r="Z112" i="4"/>
  <c r="Z115" i="4"/>
  <c r="Z114" i="4"/>
  <c r="Z10" i="4"/>
  <c r="Z26" i="4"/>
  <c r="Z11" i="4"/>
  <c r="Z24" i="4"/>
  <c r="Z28" i="4"/>
  <c r="Z30" i="4"/>
  <c r="Z22" i="4"/>
  <c r="Z32" i="4"/>
  <c r="Z14" i="4"/>
  <c r="I36" i="4"/>
  <c r="I84" i="4"/>
  <c r="I63" i="4"/>
  <c r="I35" i="4"/>
  <c r="I34" i="4"/>
  <c r="I64" i="4"/>
  <c r="I81" i="4"/>
  <c r="I82" i="4"/>
  <c r="I20" i="4"/>
  <c r="I62" i="4"/>
  <c r="I65" i="4"/>
  <c r="I19" i="4"/>
  <c r="I83" i="4"/>
  <c r="X141" i="4"/>
  <c r="X6" i="4"/>
  <c r="W7" i="4"/>
  <c r="V141" i="4"/>
  <c r="Y141" i="4"/>
  <c r="W141" i="4"/>
  <c r="W6" i="4"/>
  <c r="Z141" i="4"/>
  <c r="V7" i="4"/>
  <c r="V6" i="4"/>
  <c r="X7" i="4"/>
  <c r="AC7" i="4"/>
  <c r="Z6" i="4"/>
  <c r="Z7" i="4"/>
  <c r="Y6" i="4"/>
  <c r="Y7" i="4"/>
  <c r="AC141" i="4"/>
  <c r="AC6" i="4"/>
  <c r="AF7" i="2"/>
  <c r="N57" i="2"/>
  <c r="N62" i="2"/>
  <c r="N56" i="2"/>
  <c r="AG7" i="2"/>
  <c r="AH5" i="2"/>
  <c r="N55" i="2"/>
  <c r="AE7" i="2"/>
  <c r="N61" i="2"/>
  <c r="N65" i="2"/>
  <c r="AH7" i="2"/>
  <c r="N39" i="2"/>
  <c r="AI4" i="2"/>
  <c r="AG5" i="2"/>
  <c r="AE8" i="2"/>
  <c r="AI8" i="2"/>
  <c r="N35" i="2"/>
  <c r="N38" i="2"/>
  <c r="N20" i="2"/>
  <c r="N54" i="2"/>
  <c r="AH8" i="2"/>
  <c r="N34" i="2"/>
  <c r="N71" i="2"/>
  <c r="AF8" i="2"/>
  <c r="AI7" i="2"/>
  <c r="AC8" i="2"/>
  <c r="AG9" i="2"/>
  <c r="N44" i="2"/>
  <c r="AF9" i="2"/>
  <c r="N29" i="2"/>
  <c r="AD5" i="2"/>
  <c r="N37" i="2"/>
  <c r="N74" i="2"/>
  <c r="AE9" i="2"/>
  <c r="AE5" i="2"/>
  <c r="AF4" i="2"/>
  <c r="AD7" i="2"/>
  <c r="AD8" i="2"/>
  <c r="AG8" i="2"/>
  <c r="N73" i="2"/>
  <c r="N72" i="2"/>
  <c r="AI5" i="2"/>
  <c r="AH9" i="2"/>
  <c r="AI9" i="2"/>
  <c r="N70" i="2"/>
  <c r="N64" i="2"/>
  <c r="N53" i="2"/>
  <c r="N26" i="2"/>
  <c r="N19" i="2"/>
  <c r="AG3" i="2"/>
  <c r="N17" i="2"/>
  <c r="N18" i="2"/>
  <c r="AH3" i="2"/>
  <c r="AE3" i="2"/>
  <c r="AF3" i="2"/>
  <c r="AI3" i="2"/>
  <c r="Z5" i="2" l="1"/>
  <c r="Z9" i="2"/>
  <c r="Z8" i="2"/>
  <c r="Z7" i="2"/>
  <c r="Z6" i="2"/>
  <c r="Z4" i="2"/>
  <c r="Z3" i="2"/>
  <c r="Y7" i="2"/>
  <c r="Y9" i="2"/>
  <c r="Y8" i="2"/>
  <c r="Y6" i="2"/>
  <c r="Y5" i="2"/>
  <c r="Y4" i="2"/>
  <c r="Y3" i="2"/>
  <c r="X9" i="2"/>
  <c r="X8" i="2"/>
  <c r="X5" i="2"/>
  <c r="X7" i="2"/>
  <c r="X6" i="2"/>
  <c r="X4" i="2"/>
  <c r="X3" i="2"/>
  <c r="W9" i="2"/>
  <c r="W8" i="2"/>
  <c r="W7" i="2"/>
  <c r="W6" i="2"/>
  <c r="W5" i="2"/>
  <c r="W4" i="2"/>
  <c r="W3" i="2"/>
  <c r="N16" i="2"/>
  <c r="V8" i="2"/>
  <c r="V9" i="2"/>
  <c r="V7" i="2"/>
  <c r="V6" i="2"/>
  <c r="V5" i="2"/>
  <c r="V4" i="2"/>
  <c r="V3" i="2"/>
  <c r="AC9" i="2"/>
  <c r="AC6" i="2"/>
  <c r="AF70" i="4" a="1"/>
  <c r="AF70" i="4" s="1"/>
  <c r="AR70" i="4" s="1"/>
  <c r="AF121" i="4" a="1"/>
  <c r="AF121" i="4" s="1"/>
  <c r="AF77" i="4" a="1"/>
  <c r="AF77" i="4" s="1"/>
  <c r="AR77" i="4" s="1"/>
  <c r="AF67" i="4" a="1"/>
  <c r="AF67" i="4" s="1"/>
  <c r="AR67" i="4" s="1"/>
  <c r="AF28" i="4" a="1"/>
  <c r="AF28" i="4" s="1"/>
  <c r="AR28" i="4" s="1"/>
  <c r="AE77" i="4"/>
  <c r="AE67" i="4"/>
  <c r="AE28" i="4"/>
  <c r="AE121" i="4"/>
  <c r="AE70" i="4"/>
  <c r="N41" i="2"/>
  <c r="N32" i="2"/>
  <c r="A77" i="4" l="1"/>
  <c r="U4" i="2"/>
  <c r="T4" i="2" s="1"/>
  <c r="U9" i="2"/>
  <c r="T9" i="2" s="1"/>
  <c r="T10" i="2"/>
  <c r="U6" i="2"/>
  <c r="T6" i="2" s="1"/>
  <c r="U3" i="2"/>
  <c r="T3" i="2" s="1"/>
  <c r="U7" i="2"/>
  <c r="T7" i="2" s="1"/>
  <c r="U5" i="2"/>
  <c r="T5" i="2" s="1"/>
  <c r="U8" i="2"/>
  <c r="T8" i="2" s="1"/>
  <c r="T11" i="2"/>
  <c r="N77" i="2"/>
  <c r="I133" i="4"/>
  <c r="I77" i="4"/>
  <c r="I131" i="4"/>
  <c r="I139" i="4"/>
  <c r="I132" i="4"/>
  <c r="I28" i="4"/>
  <c r="I140" i="4"/>
  <c r="I134" i="4"/>
  <c r="I138" i="4"/>
  <c r="I137" i="4"/>
  <c r="I67" i="4"/>
  <c r="I135" i="4"/>
  <c r="I70" i="4"/>
  <c r="I121" i="4"/>
  <c r="I136" i="4"/>
  <c r="R10" i="2" l="1"/>
  <c r="R11" i="2"/>
  <c r="R6" i="2"/>
  <c r="R3" i="2"/>
  <c r="R7" i="2"/>
  <c r="R5" i="2"/>
  <c r="R9" i="2"/>
  <c r="R4" i="2"/>
  <c r="R8" i="2"/>
  <c r="E7" i="2" l="1"/>
  <c r="E8" i="2"/>
  <c r="D7" i="2"/>
  <c r="F7" i="2" s="1"/>
  <c r="E12" i="2"/>
  <c r="E11" i="2"/>
  <c r="D3" i="2"/>
  <c r="D8" i="2"/>
  <c r="E9" i="2"/>
  <c r="E4" i="2"/>
  <c r="D4" i="2"/>
  <c r="E10" i="2"/>
  <c r="D5" i="2"/>
  <c r="E6" i="2"/>
  <c r="D10" i="2"/>
  <c r="D12" i="2"/>
  <c r="D6" i="2"/>
  <c r="E3" i="2"/>
  <c r="D9" i="2"/>
  <c r="E5" i="2"/>
  <c r="D11" i="2"/>
  <c r="H7" i="2" l="1"/>
  <c r="G7" i="2"/>
  <c r="I7" i="2"/>
  <c r="M7" i="2"/>
  <c r="L7" i="2"/>
  <c r="J7" i="2"/>
  <c r="K7" i="2"/>
  <c r="F6" i="2"/>
  <c r="J6" i="2"/>
  <c r="M6" i="2"/>
  <c r="G6" i="2"/>
  <c r="K6" i="2"/>
  <c r="H6" i="2"/>
  <c r="L6" i="2"/>
  <c r="I6" i="2"/>
  <c r="F8" i="2"/>
  <c r="J8" i="2"/>
  <c r="M8" i="2"/>
  <c r="G8" i="2"/>
  <c r="K8" i="2"/>
  <c r="H8" i="2"/>
  <c r="L8" i="2"/>
  <c r="I8" i="2"/>
  <c r="F9" i="2"/>
  <c r="J9" i="2"/>
  <c r="G9" i="2"/>
  <c r="K9" i="2"/>
  <c r="H9" i="2"/>
  <c r="L9" i="2"/>
  <c r="I9" i="2"/>
  <c r="M9" i="2"/>
  <c r="F10" i="2"/>
  <c r="J10" i="2"/>
  <c r="I10" i="2"/>
  <c r="G10" i="2"/>
  <c r="K10" i="2"/>
  <c r="H10" i="2"/>
  <c r="L10" i="2"/>
  <c r="M10" i="2"/>
  <c r="F4" i="2"/>
  <c r="J4" i="2"/>
  <c r="L4" i="2"/>
  <c r="M4" i="2"/>
  <c r="G4" i="2"/>
  <c r="K4" i="2"/>
  <c r="H4" i="2"/>
  <c r="I4" i="2"/>
  <c r="M3" i="2"/>
  <c r="I3" i="2"/>
  <c r="G3" i="2"/>
  <c r="J3" i="2"/>
  <c r="L3" i="2"/>
  <c r="H3" i="2"/>
  <c r="K3" i="2"/>
  <c r="F3" i="2"/>
  <c r="F11" i="2"/>
  <c r="J11" i="2"/>
  <c r="M11" i="2"/>
  <c r="G11" i="2"/>
  <c r="K11" i="2"/>
  <c r="H11" i="2"/>
  <c r="L11" i="2"/>
  <c r="I11" i="2"/>
  <c r="F5" i="2"/>
  <c r="J5" i="2"/>
  <c r="M5" i="2"/>
  <c r="G5" i="2"/>
  <c r="K5" i="2"/>
  <c r="H5" i="2"/>
  <c r="L5" i="2"/>
  <c r="I5" i="2"/>
  <c r="F12" i="2"/>
  <c r="J12" i="2"/>
  <c r="G12" i="2"/>
  <c r="K12" i="2"/>
  <c r="H12" i="2"/>
  <c r="L12" i="2"/>
  <c r="I12" i="2"/>
  <c r="M12" i="2"/>
  <c r="AG43" i="4" l="1"/>
  <c r="S4" i="4"/>
  <c r="AA18" i="4" s="1"/>
  <c r="T4" i="4"/>
  <c r="AD43" i="4"/>
  <c r="AB107" i="4" l="1"/>
  <c r="AB18" i="4"/>
  <c r="AE18" i="4" s="1"/>
  <c r="AA107" i="4"/>
  <c r="AF107" i="4" s="1" a="1"/>
  <c r="AF107" i="4" s="1"/>
  <c r="AA103" i="4"/>
  <c r="AB17" i="4"/>
  <c r="AB106" i="4"/>
  <c r="AA17" i="4"/>
  <c r="AA106" i="4"/>
  <c r="AV43" i="4"/>
  <c r="AQ18" i="4" s="1"/>
  <c r="AU43" i="4"/>
  <c r="AS43" i="4"/>
  <c r="AT43" i="4"/>
  <c r="AD4" i="4"/>
  <c r="AI43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" i="4"/>
  <c r="AB110" i="4"/>
  <c r="AB98" i="4"/>
  <c r="AB99" i="4"/>
  <c r="AB100" i="4"/>
  <c r="AB101" i="4"/>
  <c r="AB102" i="4"/>
  <c r="AB104" i="4"/>
  <c r="AB105" i="4"/>
  <c r="AA98" i="4"/>
  <c r="AA99" i="4"/>
  <c r="AA100" i="4"/>
  <c r="AA101" i="4"/>
  <c r="AA102" i="4"/>
  <c r="AA104" i="4"/>
  <c r="AA105" i="4"/>
  <c r="AA110" i="4"/>
  <c r="J43" i="4"/>
  <c r="AA92" i="4"/>
  <c r="AB23" i="4"/>
  <c r="AB14" i="4"/>
  <c r="AB125" i="4"/>
  <c r="AB33" i="4"/>
  <c r="AB88" i="4"/>
  <c r="AB11" i="4"/>
  <c r="AB90" i="4"/>
  <c r="AB24" i="4"/>
  <c r="AB116" i="4"/>
  <c r="AB31" i="4"/>
  <c r="AB91" i="4"/>
  <c r="AB126" i="4"/>
  <c r="AB141" i="4"/>
  <c r="AB74" i="4"/>
  <c r="AB96" i="4"/>
  <c r="AB69" i="4"/>
  <c r="D24" i="4"/>
  <c r="D104" i="4"/>
  <c r="AB26" i="4"/>
  <c r="AB30" i="4"/>
  <c r="AB29" i="4"/>
  <c r="AB7" i="4"/>
  <c r="AB8" i="4"/>
  <c r="AB111" i="4"/>
  <c r="AB32" i="4"/>
  <c r="AB129" i="4"/>
  <c r="D91" i="4"/>
  <c r="AB80" i="4"/>
  <c r="AB76" i="4"/>
  <c r="AB128" i="4"/>
  <c r="AB16" i="4"/>
  <c r="AB71" i="4"/>
  <c r="AB10" i="4"/>
  <c r="AA94" i="4"/>
  <c r="AA78" i="4"/>
  <c r="AA37" i="4"/>
  <c r="AA31" i="4"/>
  <c r="AB124" i="4"/>
  <c r="AB113" i="4"/>
  <c r="AB85" i="4"/>
  <c r="AA73" i="4"/>
  <c r="AB87" i="4"/>
  <c r="AB12" i="4"/>
  <c r="AB66" i="4"/>
  <c r="AB27" i="4"/>
  <c r="AB78" i="4"/>
  <c r="AA130" i="4"/>
  <c r="AB93" i="4"/>
  <c r="AB86" i="4"/>
  <c r="AB68" i="4"/>
  <c r="AB13" i="4"/>
  <c r="D11" i="4"/>
  <c r="D41" i="4"/>
  <c r="D39" i="4"/>
  <c r="D110" i="4"/>
  <c r="D77" i="4"/>
  <c r="D121" i="4"/>
  <c r="D81" i="4"/>
  <c r="D45" i="4"/>
  <c r="D17" i="4"/>
  <c r="D132" i="4"/>
  <c r="D19" i="4"/>
  <c r="D123" i="4"/>
  <c r="D131" i="4"/>
  <c r="D100" i="4"/>
  <c r="D25" i="4"/>
  <c r="D54" i="4"/>
  <c r="D43" i="4"/>
  <c r="D67" i="4"/>
  <c r="D70" i="4"/>
  <c r="D89" i="4"/>
  <c r="D42" i="4"/>
  <c r="D83" i="4"/>
  <c r="D46" i="4"/>
  <c r="D93" i="4"/>
  <c r="D18" i="4"/>
  <c r="D22" i="4"/>
  <c r="D56" i="4"/>
  <c r="D97" i="4"/>
  <c r="D116" i="4"/>
  <c r="D85" i="4"/>
  <c r="D37" i="4"/>
  <c r="D23" i="4"/>
  <c r="D36" i="4"/>
  <c r="D71" i="4"/>
  <c r="D73" i="4"/>
  <c r="D129" i="4"/>
  <c r="D99" i="4"/>
  <c r="D60" i="4"/>
  <c r="D58" i="4"/>
  <c r="D51" i="4"/>
  <c r="D32" i="4"/>
  <c r="D29" i="4"/>
  <c r="D15" i="4"/>
  <c r="D47" i="4"/>
  <c r="D14" i="4"/>
  <c r="D124" i="4"/>
  <c r="D87" i="4"/>
  <c r="D101" i="4"/>
  <c r="D8" i="4"/>
  <c r="D72" i="4"/>
  <c r="D40" i="4"/>
  <c r="D55" i="4"/>
  <c r="D75" i="4"/>
  <c r="D78" i="4"/>
  <c r="D69" i="4"/>
  <c r="D111" i="4"/>
  <c r="D120" i="4"/>
  <c r="D92" i="4"/>
  <c r="D138" i="4"/>
  <c r="D48" i="4"/>
  <c r="D50" i="4"/>
  <c r="D119" i="4"/>
  <c r="D79" i="4"/>
  <c r="D80" i="4"/>
  <c r="D113" i="4"/>
  <c r="D27" i="4"/>
  <c r="D98" i="4"/>
  <c r="D135" i="4"/>
  <c r="D128" i="4"/>
  <c r="D12" i="4"/>
  <c r="D74" i="4"/>
  <c r="AA29" i="4"/>
  <c r="AA76" i="4"/>
  <c r="AA30" i="4"/>
  <c r="AA89" i="4"/>
  <c r="AA21" i="4"/>
  <c r="AA111" i="4"/>
  <c r="AA68" i="4"/>
  <c r="AA141" i="4"/>
  <c r="AA123" i="4"/>
  <c r="AA74" i="4"/>
  <c r="AA79" i="4"/>
  <c r="AA124" i="4"/>
  <c r="AA91" i="4"/>
  <c r="AA112" i="4"/>
  <c r="AA33" i="4"/>
  <c r="AA69" i="4"/>
  <c r="AA26" i="4"/>
  <c r="AA122" i="4"/>
  <c r="AA25" i="4"/>
  <c r="AA22" i="4"/>
  <c r="AA14" i="4"/>
  <c r="AA80" i="4"/>
  <c r="AA75" i="4"/>
  <c r="AA88" i="4"/>
  <c r="AA87" i="4"/>
  <c r="AA127" i="4"/>
  <c r="AA10" i="4"/>
  <c r="AA27" i="4"/>
  <c r="AA126" i="4"/>
  <c r="AA129" i="4"/>
  <c r="AA72" i="4"/>
  <c r="AA23" i="4"/>
  <c r="AA90" i="4"/>
  <c r="AA71" i="4"/>
  <c r="AA114" i="4"/>
  <c r="AA32" i="4"/>
  <c r="AI32" i="4" s="1"/>
  <c r="AA116" i="4"/>
  <c r="AA66" i="4"/>
  <c r="AA125" i="4"/>
  <c r="AA86" i="4"/>
  <c r="AA7" i="4"/>
  <c r="AA113" i="4"/>
  <c r="AA24" i="4"/>
  <c r="AA97" i="4"/>
  <c r="AA128" i="4"/>
  <c r="AA85" i="4"/>
  <c r="AA96" i="4"/>
  <c r="AA115" i="4"/>
  <c r="AA16" i="4"/>
  <c r="AA8" i="4"/>
  <c r="AA13" i="4"/>
  <c r="AA12" i="4"/>
  <c r="AA9" i="4"/>
  <c r="AA93" i="4"/>
  <c r="AA11" i="4"/>
  <c r="AA15" i="4"/>
  <c r="AA95" i="4"/>
  <c r="AA6" i="4"/>
  <c r="D16" i="4"/>
  <c r="D63" i="4"/>
  <c r="D117" i="4"/>
  <c r="D7" i="4"/>
  <c r="AB112" i="4"/>
  <c r="AB115" i="4"/>
  <c r="AB9" i="4"/>
  <c r="AB73" i="4"/>
  <c r="AB123" i="4"/>
  <c r="AB114" i="4"/>
  <c r="AB21" i="4"/>
  <c r="AB25" i="4"/>
  <c r="D76" i="4"/>
  <c r="D9" i="4"/>
  <c r="D84" i="4"/>
  <c r="D90" i="4"/>
  <c r="AB97" i="4"/>
  <c r="D127" i="4"/>
  <c r="D65" i="4"/>
  <c r="D38" i="4"/>
  <c r="D115" i="4"/>
  <c r="D26" i="4"/>
  <c r="D34" i="4"/>
  <c r="D114" i="4"/>
  <c r="D6" i="4"/>
  <c r="D88" i="4"/>
  <c r="D62" i="4"/>
  <c r="D57" i="4"/>
  <c r="D86" i="4"/>
  <c r="D59" i="4"/>
  <c r="D53" i="4"/>
  <c r="D139" i="4"/>
  <c r="D133" i="4"/>
  <c r="D33" i="4"/>
  <c r="D94" i="4"/>
  <c r="D136" i="4"/>
  <c r="D134" i="4"/>
  <c r="D112" i="4"/>
  <c r="D52" i="4"/>
  <c r="D126" i="4"/>
  <c r="D95" i="4"/>
  <c r="D125" i="4"/>
  <c r="D35" i="4"/>
  <c r="D102" i="4"/>
  <c r="D96" i="4"/>
  <c r="D10" i="4"/>
  <c r="D118" i="4"/>
  <c r="D31" i="4"/>
  <c r="D130" i="4"/>
  <c r="D66" i="4"/>
  <c r="D105" i="4"/>
  <c r="D64" i="4"/>
  <c r="AB89" i="4"/>
  <c r="AB15" i="4"/>
  <c r="AB95" i="4"/>
  <c r="D13" i="4"/>
  <c r="D140" i="4"/>
  <c r="D44" i="4"/>
  <c r="D49" i="4"/>
  <c r="AB122" i="4"/>
  <c r="AB37" i="4"/>
  <c r="AB92" i="4"/>
  <c r="AB127" i="4"/>
  <c r="AB75" i="4"/>
  <c r="AB94" i="4"/>
  <c r="AB72" i="4"/>
  <c r="AB130" i="4"/>
  <c r="AB79" i="4"/>
  <c r="AB22" i="4"/>
  <c r="D137" i="4"/>
  <c r="D30" i="4"/>
  <c r="D122" i="4"/>
  <c r="D82" i="4"/>
  <c r="D20" i="4"/>
  <c r="D61" i="4"/>
  <c r="D68" i="4"/>
  <c r="D21" i="4"/>
  <c r="D28" i="4"/>
  <c r="AF18" i="4" l="1" a="1"/>
  <c r="AF18" i="4" s="1"/>
  <c r="AS18" i="4" s="1"/>
  <c r="AH111" i="4"/>
  <c r="AE107" i="4"/>
  <c r="AR18" i="4"/>
  <c r="AQ17" i="4"/>
  <c r="AF17" i="4" a="1"/>
  <c r="AF17" i="4" s="1"/>
  <c r="AS17" i="4" s="1"/>
  <c r="AE17" i="4"/>
  <c r="AH113" i="4"/>
  <c r="AI13" i="4"/>
  <c r="I107" i="4"/>
  <c r="AR107" i="4"/>
  <c r="AE106" i="4"/>
  <c r="AF106" i="4" a="1"/>
  <c r="AF106" i="4" s="1"/>
  <c r="AU106" i="4" s="1"/>
  <c r="AH11" i="4"/>
  <c r="AH43" i="4"/>
  <c r="AR17" i="4"/>
  <c r="AI15" i="4"/>
  <c r="AH79" i="4"/>
  <c r="AI12" i="4"/>
  <c r="AH61" i="4"/>
  <c r="AH16" i="4"/>
  <c r="AH9" i="4"/>
  <c r="AH10" i="4"/>
  <c r="AI51" i="4"/>
  <c r="AI75" i="4"/>
  <c r="AI76" i="4"/>
  <c r="AI60" i="4"/>
  <c r="AI29" i="4"/>
  <c r="AH66" i="4"/>
  <c r="AH112" i="4"/>
  <c r="AI30" i="4"/>
  <c r="AI53" i="4"/>
  <c r="AH33" i="4"/>
  <c r="AI33" i="4"/>
  <c r="AI58" i="4"/>
  <c r="AH30" i="4"/>
  <c r="AE47" i="4"/>
  <c r="AE105" i="4"/>
  <c r="AH12" i="4"/>
  <c r="AH13" i="4"/>
  <c r="AF61" i="4" a="1"/>
  <c r="AF61" i="4" s="1"/>
  <c r="AR61" i="4" s="1"/>
  <c r="AH75" i="4"/>
  <c r="AH76" i="4"/>
  <c r="AH60" i="4"/>
  <c r="AE92" i="4"/>
  <c r="AH29" i="4"/>
  <c r="AH51" i="4"/>
  <c r="O6" i="8"/>
  <c r="O10" i="8"/>
  <c r="O14" i="8"/>
  <c r="O18" i="8"/>
  <c r="O22" i="8"/>
  <c r="O26" i="8"/>
  <c r="O30" i="8"/>
  <c r="O34" i="8"/>
  <c r="O38" i="8"/>
  <c r="O42" i="8"/>
  <c r="O46" i="8"/>
  <c r="O50" i="8"/>
  <c r="O54" i="8"/>
  <c r="O58" i="8"/>
  <c r="O62" i="8"/>
  <c r="O13" i="8"/>
  <c r="O37" i="8"/>
  <c r="O45" i="8"/>
  <c r="O53" i="8"/>
  <c r="O61" i="8"/>
  <c r="O7" i="8"/>
  <c r="O11" i="8"/>
  <c r="O15" i="8"/>
  <c r="O19" i="8"/>
  <c r="O23" i="8"/>
  <c r="O27" i="8"/>
  <c r="O31" i="8"/>
  <c r="O35" i="8"/>
  <c r="O39" i="8"/>
  <c r="O43" i="8"/>
  <c r="O47" i="8"/>
  <c r="O51" i="8"/>
  <c r="O55" i="8"/>
  <c r="O59" i="8"/>
  <c r="O63" i="8"/>
  <c r="O4" i="8"/>
  <c r="O8" i="8"/>
  <c r="O12" i="8"/>
  <c r="O16" i="8"/>
  <c r="O20" i="8"/>
  <c r="O24" i="8"/>
  <c r="O28" i="8"/>
  <c r="O32" i="8"/>
  <c r="O36" i="8"/>
  <c r="O40" i="8"/>
  <c r="O44" i="8"/>
  <c r="O48" i="8"/>
  <c r="O52" i="8"/>
  <c r="O56" i="8"/>
  <c r="O60" i="8"/>
  <c r="O3" i="8"/>
  <c r="O5" i="8"/>
  <c r="O9" i="8"/>
  <c r="O17" i="8"/>
  <c r="O21" i="8"/>
  <c r="O25" i="8"/>
  <c r="O29" i="8"/>
  <c r="O33" i="8"/>
  <c r="O41" i="8"/>
  <c r="O49" i="8"/>
  <c r="O57" i="8"/>
  <c r="AH53" i="4"/>
  <c r="AH15" i="4"/>
  <c r="AH32" i="4"/>
  <c r="AH58" i="4"/>
  <c r="G5" i="8"/>
  <c r="K5" i="8"/>
  <c r="G6" i="8"/>
  <c r="K6" i="8"/>
  <c r="G7" i="8"/>
  <c r="K7" i="8"/>
  <c r="G8" i="8"/>
  <c r="K8" i="8"/>
  <c r="G9" i="8"/>
  <c r="K9" i="8"/>
  <c r="G10" i="8"/>
  <c r="K10" i="8"/>
  <c r="G11" i="8"/>
  <c r="K11" i="8"/>
  <c r="G12" i="8"/>
  <c r="K12" i="8"/>
  <c r="H5" i="8"/>
  <c r="L5" i="8"/>
  <c r="H6" i="8"/>
  <c r="L6" i="8"/>
  <c r="H7" i="8"/>
  <c r="L7" i="8"/>
  <c r="H8" i="8"/>
  <c r="L8" i="8"/>
  <c r="H9" i="8"/>
  <c r="L9" i="8"/>
  <c r="H10" i="8"/>
  <c r="L10" i="8"/>
  <c r="H11" i="8"/>
  <c r="L11" i="8"/>
  <c r="H12" i="8"/>
  <c r="L12" i="8"/>
  <c r="H13" i="8"/>
  <c r="L13" i="8"/>
  <c r="H14" i="8"/>
  <c r="L14" i="8"/>
  <c r="H15" i="8"/>
  <c r="L15" i="8"/>
  <c r="H16" i="8"/>
  <c r="L16" i="8"/>
  <c r="H17" i="8"/>
  <c r="L17" i="8"/>
  <c r="H18" i="8"/>
  <c r="L18" i="8"/>
  <c r="H19" i="8"/>
  <c r="L19" i="8"/>
  <c r="H20" i="8"/>
  <c r="L20" i="8"/>
  <c r="H21" i="8"/>
  <c r="L21" i="8"/>
  <c r="H22" i="8"/>
  <c r="L22" i="8"/>
  <c r="H23" i="8"/>
  <c r="I5" i="8"/>
  <c r="M5" i="8"/>
  <c r="I6" i="8"/>
  <c r="M6" i="8"/>
  <c r="I7" i="8"/>
  <c r="M7" i="8"/>
  <c r="I8" i="8"/>
  <c r="M8" i="8"/>
  <c r="I9" i="8"/>
  <c r="M9" i="8"/>
  <c r="I10" i="8"/>
  <c r="M10" i="8"/>
  <c r="I11" i="8"/>
  <c r="M11" i="8"/>
  <c r="I12" i="8"/>
  <c r="M12" i="8"/>
  <c r="J5" i="8"/>
  <c r="J7" i="8"/>
  <c r="J9" i="8"/>
  <c r="J11" i="8"/>
  <c r="G13" i="8"/>
  <c r="M13" i="8"/>
  <c r="J14" i="8"/>
  <c r="G15" i="8"/>
  <c r="M15" i="8"/>
  <c r="J16" i="8"/>
  <c r="G17" i="8"/>
  <c r="M17" i="8"/>
  <c r="J18" i="8"/>
  <c r="G19" i="8"/>
  <c r="M19" i="8"/>
  <c r="J20" i="8"/>
  <c r="G21" i="8"/>
  <c r="M21" i="8"/>
  <c r="J22" i="8"/>
  <c r="G23" i="8"/>
  <c r="L23" i="8"/>
  <c r="H24" i="8"/>
  <c r="L24" i="8"/>
  <c r="H25" i="8"/>
  <c r="L25" i="8"/>
  <c r="H26" i="8"/>
  <c r="L26" i="8"/>
  <c r="H27" i="8"/>
  <c r="L27" i="8"/>
  <c r="H28" i="8"/>
  <c r="L28" i="8"/>
  <c r="H29" i="8"/>
  <c r="L29" i="8"/>
  <c r="H30" i="8"/>
  <c r="L30" i="8"/>
  <c r="H31" i="8"/>
  <c r="L31" i="8"/>
  <c r="H32" i="8"/>
  <c r="L32" i="8"/>
  <c r="H33" i="8"/>
  <c r="L33" i="8"/>
  <c r="H34" i="8"/>
  <c r="L34" i="8"/>
  <c r="H35" i="8"/>
  <c r="L35" i="8"/>
  <c r="H36" i="8"/>
  <c r="L36" i="8"/>
  <c r="H37" i="8"/>
  <c r="L37" i="8"/>
  <c r="H38" i="8"/>
  <c r="L38" i="8"/>
  <c r="H39" i="8"/>
  <c r="L39" i="8"/>
  <c r="H40" i="8"/>
  <c r="L40" i="8"/>
  <c r="H41" i="8"/>
  <c r="L41" i="8"/>
  <c r="H42" i="8"/>
  <c r="L42" i="8"/>
  <c r="H43" i="8"/>
  <c r="L43" i="8"/>
  <c r="H44" i="8"/>
  <c r="L44" i="8"/>
  <c r="H45" i="8"/>
  <c r="L45" i="8"/>
  <c r="H46" i="8"/>
  <c r="L46" i="8"/>
  <c r="J6" i="8"/>
  <c r="J8" i="8"/>
  <c r="J10" i="8"/>
  <c r="J12" i="8"/>
  <c r="J13" i="8"/>
  <c r="G14" i="8"/>
  <c r="M14" i="8"/>
  <c r="J15" i="8"/>
  <c r="G16" i="8"/>
  <c r="M16" i="8"/>
  <c r="J17" i="8"/>
  <c r="G18" i="8"/>
  <c r="M18" i="8"/>
  <c r="J19" i="8"/>
  <c r="G20" i="8"/>
  <c r="M20" i="8"/>
  <c r="J21" i="8"/>
  <c r="G22" i="8"/>
  <c r="M22" i="8"/>
  <c r="J23" i="8"/>
  <c r="N23" i="8"/>
  <c r="J24" i="8"/>
  <c r="N24" i="8"/>
  <c r="J25" i="8"/>
  <c r="N25" i="8"/>
  <c r="J26" i="8"/>
  <c r="N26" i="8"/>
  <c r="J27" i="8"/>
  <c r="N27" i="8"/>
  <c r="J28" i="8"/>
  <c r="N28" i="8"/>
  <c r="J29" i="8"/>
  <c r="N29" i="8"/>
  <c r="J30" i="8"/>
  <c r="N30" i="8"/>
  <c r="J31" i="8"/>
  <c r="N31" i="8"/>
  <c r="J32" i="8"/>
  <c r="N32" i="8"/>
  <c r="J33" i="8"/>
  <c r="N33" i="8"/>
  <c r="J34" i="8"/>
  <c r="N34" i="8"/>
  <c r="J35" i="8"/>
  <c r="N35" i="8"/>
  <c r="J36" i="8"/>
  <c r="N36" i="8"/>
  <c r="J37" i="8"/>
  <c r="N37" i="8"/>
  <c r="J38" i="8"/>
  <c r="N38" i="8"/>
  <c r="J39" i="8"/>
  <c r="N39" i="8"/>
  <c r="J40" i="8"/>
  <c r="N40" i="8"/>
  <c r="J41" i="8"/>
  <c r="N41" i="8"/>
  <c r="J42" i="8"/>
  <c r="N42" i="8"/>
  <c r="J43" i="8"/>
  <c r="N43" i="8"/>
  <c r="J44" i="8"/>
  <c r="N44" i="8"/>
  <c r="J45" i="8"/>
  <c r="N45" i="8"/>
  <c r="J46" i="8"/>
  <c r="N46" i="8"/>
  <c r="J47" i="8"/>
  <c r="N47" i="8"/>
  <c r="J48" i="8"/>
  <c r="N48" i="8"/>
  <c r="J49" i="8"/>
  <c r="N49" i="8"/>
  <c r="N7" i="8"/>
  <c r="N11" i="8"/>
  <c r="N13" i="8"/>
  <c r="I15" i="8"/>
  <c r="K16" i="8"/>
  <c r="N17" i="8"/>
  <c r="I19" i="8"/>
  <c r="K20" i="8"/>
  <c r="N21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H47" i="8"/>
  <c r="M47" i="8"/>
  <c r="K48" i="8"/>
  <c r="H49" i="8"/>
  <c r="M49" i="8"/>
  <c r="J50" i="8"/>
  <c r="N50" i="8"/>
  <c r="J51" i="8"/>
  <c r="N51" i="8"/>
  <c r="J52" i="8"/>
  <c r="N52" i="8"/>
  <c r="J53" i="8"/>
  <c r="N53" i="8"/>
  <c r="J54" i="8"/>
  <c r="N54" i="8"/>
  <c r="J55" i="8"/>
  <c r="N55" i="8"/>
  <c r="J56" i="8"/>
  <c r="N56" i="8"/>
  <c r="J57" i="8"/>
  <c r="N57" i="8"/>
  <c r="J58" i="8"/>
  <c r="N58" i="8"/>
  <c r="J59" i="8"/>
  <c r="N59" i="8"/>
  <c r="J60" i="8"/>
  <c r="N60" i="8"/>
  <c r="J61" i="8"/>
  <c r="N61" i="8"/>
  <c r="J62" i="8"/>
  <c r="N62" i="8"/>
  <c r="G51" i="8"/>
  <c r="G53" i="8"/>
  <c r="K54" i="8"/>
  <c r="K55" i="8"/>
  <c r="K56" i="8"/>
  <c r="K57" i="8"/>
  <c r="K58" i="8"/>
  <c r="N8" i="8"/>
  <c r="N12" i="8"/>
  <c r="I14" i="8"/>
  <c r="K15" i="8"/>
  <c r="N16" i="8"/>
  <c r="I18" i="8"/>
  <c r="K19" i="8"/>
  <c r="N20" i="8"/>
  <c r="I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I47" i="8"/>
  <c r="G48" i="8"/>
  <c r="L48" i="8"/>
  <c r="I49" i="8"/>
  <c r="G50" i="8"/>
  <c r="K50" i="8"/>
  <c r="K51" i="8"/>
  <c r="G52" i="8"/>
  <c r="K52" i="8"/>
  <c r="K53" i="8"/>
  <c r="G54" i="8"/>
  <c r="G55" i="8"/>
  <c r="G56" i="8"/>
  <c r="G57" i="8"/>
  <c r="G58" i="8"/>
  <c r="G59" i="8"/>
  <c r="N5" i="8"/>
  <c r="N9" i="8"/>
  <c r="I13" i="8"/>
  <c r="K14" i="8"/>
  <c r="N15" i="8"/>
  <c r="I17" i="8"/>
  <c r="K18" i="8"/>
  <c r="N19" i="8"/>
  <c r="I21" i="8"/>
  <c r="K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K47" i="8"/>
  <c r="H48" i="8"/>
  <c r="M48" i="8"/>
  <c r="K49" i="8"/>
  <c r="H50" i="8"/>
  <c r="L50" i="8"/>
  <c r="H51" i="8"/>
  <c r="L51" i="8"/>
  <c r="H52" i="8"/>
  <c r="L52" i="8"/>
  <c r="H53" i="8"/>
  <c r="L53" i="8"/>
  <c r="H54" i="8"/>
  <c r="L54" i="8"/>
  <c r="H55" i="8"/>
  <c r="L55" i="8"/>
  <c r="H56" i="8"/>
  <c r="L56" i="8"/>
  <c r="H57" i="8"/>
  <c r="L57" i="8"/>
  <c r="H58" i="8"/>
  <c r="L58" i="8"/>
  <c r="H59" i="8"/>
  <c r="L59" i="8"/>
  <c r="H60" i="8"/>
  <c r="L60" i="8"/>
  <c r="H61" i="8"/>
  <c r="L61" i="8"/>
  <c r="H62" i="8"/>
  <c r="L62" i="8"/>
  <c r="N10" i="8"/>
  <c r="K17" i="8"/>
  <c r="N22" i="8"/>
  <c r="G27" i="8"/>
  <c r="G31" i="8"/>
  <c r="G35" i="8"/>
  <c r="G39" i="8"/>
  <c r="G43" i="8"/>
  <c r="G47" i="8"/>
  <c r="L49" i="8"/>
  <c r="M51" i="8"/>
  <c r="M53" i="8"/>
  <c r="M55" i="8"/>
  <c r="M57" i="8"/>
  <c r="K59" i="8"/>
  <c r="K60" i="8"/>
  <c r="K61" i="8"/>
  <c r="K62" i="8"/>
  <c r="M61" i="8"/>
  <c r="N6" i="8"/>
  <c r="G26" i="8"/>
  <c r="G30" i="8"/>
  <c r="G34" i="8"/>
  <c r="G42" i="8"/>
  <c r="I51" i="8"/>
  <c r="I55" i="8"/>
  <c r="I60" i="8"/>
  <c r="K13" i="8"/>
  <c r="N18" i="8"/>
  <c r="G24" i="8"/>
  <c r="G28" i="8"/>
  <c r="G32" i="8"/>
  <c r="G36" i="8"/>
  <c r="G40" i="8"/>
  <c r="G44" i="8"/>
  <c r="L47" i="8"/>
  <c r="I50" i="8"/>
  <c r="I52" i="8"/>
  <c r="I54" i="8"/>
  <c r="I56" i="8"/>
  <c r="I58" i="8"/>
  <c r="M59" i="8"/>
  <c r="M60" i="8"/>
  <c r="M62" i="8"/>
  <c r="K21" i="8"/>
  <c r="G49" i="8"/>
  <c r="I59" i="8"/>
  <c r="I62" i="8"/>
  <c r="N14" i="8"/>
  <c r="I20" i="8"/>
  <c r="G25" i="8"/>
  <c r="G29" i="8"/>
  <c r="G33" i="8"/>
  <c r="G37" i="8"/>
  <c r="G41" i="8"/>
  <c r="G45" i="8"/>
  <c r="I48" i="8"/>
  <c r="M50" i="8"/>
  <c r="M52" i="8"/>
  <c r="M54" i="8"/>
  <c r="M56" i="8"/>
  <c r="M58" i="8"/>
  <c r="G60" i="8"/>
  <c r="G61" i="8"/>
  <c r="G62" i="8"/>
  <c r="I16" i="8"/>
  <c r="G38" i="8"/>
  <c r="G46" i="8"/>
  <c r="I53" i="8"/>
  <c r="I57" i="8"/>
  <c r="I61" i="8"/>
  <c r="AE94" i="4"/>
  <c r="AE73" i="4"/>
  <c r="AF104" i="4" a="1"/>
  <c r="AF104" i="4" s="1"/>
  <c r="AE104" i="4"/>
  <c r="AF111" i="4" a="1"/>
  <c r="AF111" i="4" s="1"/>
  <c r="AR111" i="4" s="1"/>
  <c r="AE130" i="4"/>
  <c r="AF76" i="4" a="1"/>
  <c r="AF76" i="4" s="1"/>
  <c r="AR76" i="4" s="1"/>
  <c r="AF74" i="4" a="1"/>
  <c r="AF74" i="4" s="1"/>
  <c r="AS74" i="4" s="1"/>
  <c r="AF30" i="4" a="1"/>
  <c r="AF30" i="4" s="1"/>
  <c r="AR30" i="4" s="1"/>
  <c r="AF29" i="4" a="1"/>
  <c r="AF29" i="4" s="1"/>
  <c r="AR29" i="4" s="1"/>
  <c r="AF102" i="4" a="1"/>
  <c r="AF102" i="4" s="1"/>
  <c r="AF33" i="4" a="1"/>
  <c r="AF33" i="4" s="1"/>
  <c r="AR33" i="4" s="1"/>
  <c r="AF99" i="4" a="1"/>
  <c r="AF99" i="4" s="1"/>
  <c r="AR99" i="4" s="1"/>
  <c r="AF37" i="4" a="1"/>
  <c r="AF37" i="4" s="1"/>
  <c r="AR37" i="4" s="1"/>
  <c r="AF43" i="4" a="1"/>
  <c r="AF43" i="4" s="1"/>
  <c r="AR43" i="4" s="1"/>
  <c r="AE43" i="4"/>
  <c r="AF96" i="4" a="1"/>
  <c r="AF96" i="4" s="1"/>
  <c r="AU96" i="4" s="1"/>
  <c r="AF122" i="4" a="1"/>
  <c r="AF122" i="4" s="1"/>
  <c r="AF89" i="4" a="1"/>
  <c r="AF89" i="4" s="1"/>
  <c r="AR89" i="4" s="1"/>
  <c r="AF105" i="4" a="1"/>
  <c r="AF105" i="4" s="1"/>
  <c r="AF32" i="4" a="1"/>
  <c r="AF32" i="4" s="1"/>
  <c r="AR32" i="4" s="1"/>
  <c r="AF112" i="4" a="1"/>
  <c r="AF112" i="4" s="1"/>
  <c r="AR112" i="4" s="1"/>
  <c r="AF123" i="4" a="1"/>
  <c r="AF123" i="4" s="1"/>
  <c r="AF113" i="4" a="1"/>
  <c r="AF113" i="4" s="1"/>
  <c r="AR113" i="4" s="1"/>
  <c r="AF114" i="4" a="1"/>
  <c r="AF114" i="4" s="1"/>
  <c r="AT114" i="4" s="1"/>
  <c r="AE100" i="4"/>
  <c r="AF100" i="4" a="1"/>
  <c r="AF100" i="4" s="1"/>
  <c r="AR100" i="4" s="1"/>
  <c r="AE125" i="4"/>
  <c r="AF125" i="4" a="1"/>
  <c r="AF125" i="4" s="1"/>
  <c r="AE126" i="4"/>
  <c r="AF126" i="4" a="1"/>
  <c r="AF126" i="4" s="1"/>
  <c r="AE87" i="4"/>
  <c r="AF87" i="4" a="1"/>
  <c r="AF87" i="4" s="1"/>
  <c r="AR87" i="4" s="1"/>
  <c r="AF16" i="4" a="1"/>
  <c r="AF16" i="4" s="1"/>
  <c r="AR16" i="4" s="1"/>
  <c r="AE59" i="4"/>
  <c r="AF59" i="4" a="1"/>
  <c r="AF59" i="4" s="1"/>
  <c r="AU59" i="4" s="1"/>
  <c r="AE91" i="4"/>
  <c r="AF91" i="4" a="1"/>
  <c r="AF91" i="4" s="1"/>
  <c r="AR91" i="4" s="1"/>
  <c r="AE48" i="4"/>
  <c r="AF48" i="4" a="1"/>
  <c r="AF48" i="4" s="1"/>
  <c r="AR48" i="4" s="1"/>
  <c r="AE27" i="4"/>
  <c r="AF27" i="4" a="1"/>
  <c r="AF27" i="4" s="1"/>
  <c r="AR27" i="4" s="1"/>
  <c r="AE116" i="4"/>
  <c r="AF116" i="4" a="1"/>
  <c r="AF116" i="4" s="1"/>
  <c r="AR116" i="4" s="1"/>
  <c r="AE80" i="4"/>
  <c r="AF80" i="4" a="1"/>
  <c r="AF80" i="4" s="1"/>
  <c r="AR80" i="4" s="1"/>
  <c r="AE38" i="4"/>
  <c r="AF38" i="4" a="1"/>
  <c r="AF38" i="4" s="1"/>
  <c r="AF101" i="4" a="1"/>
  <c r="AF101" i="4" s="1"/>
  <c r="AU101" i="4" s="1"/>
  <c r="AE85" i="4"/>
  <c r="AF85" i="4" a="1"/>
  <c r="AF85" i="4" s="1"/>
  <c r="AR85" i="4" s="1"/>
  <c r="AE110" i="4"/>
  <c r="AF110" i="4" a="1"/>
  <c r="AF110" i="4" s="1"/>
  <c r="AR110" i="4" s="1"/>
  <c r="AE128" i="4"/>
  <c r="AF128" i="4" a="1"/>
  <c r="AF128" i="4" s="1"/>
  <c r="AE52" i="4"/>
  <c r="AF52" i="4" a="1"/>
  <c r="AF52" i="4" s="1"/>
  <c r="AR52" i="4" s="1"/>
  <c r="AF22" i="4" a="1"/>
  <c r="AF22" i="4" s="1"/>
  <c r="AR22" i="4" s="1"/>
  <c r="AE49" i="4"/>
  <c r="AF49" i="4" a="1"/>
  <c r="AF49" i="4" s="1"/>
  <c r="AR49" i="4" s="1"/>
  <c r="AF21" i="4" a="1"/>
  <c r="AF21" i="4" s="1"/>
  <c r="AF9" i="4" a="1"/>
  <c r="AF9" i="4" s="1"/>
  <c r="AR9" i="4" s="1"/>
  <c r="AF97" i="4" a="1"/>
  <c r="AF97" i="4" s="1"/>
  <c r="AR97" i="4" s="1"/>
  <c r="AF58" i="4" a="1"/>
  <c r="AF58" i="4" s="1"/>
  <c r="AR58" i="4" s="1"/>
  <c r="AF56" i="4" a="1"/>
  <c r="AF56" i="4" s="1"/>
  <c r="AR56" i="4" s="1"/>
  <c r="AF25" i="4" a="1"/>
  <c r="AF25" i="4" s="1"/>
  <c r="AR25" i="4" s="1"/>
  <c r="AF79" i="4" a="1"/>
  <c r="AF79" i="4" s="1"/>
  <c r="AR79" i="4" s="1"/>
  <c r="AF73" i="4" a="1"/>
  <c r="AF73" i="4" s="1"/>
  <c r="AR73" i="4" s="1"/>
  <c r="AE78" i="4"/>
  <c r="AF78" i="4" a="1"/>
  <c r="AF78" i="4" s="1"/>
  <c r="AU78" i="4" s="1"/>
  <c r="AE31" i="4"/>
  <c r="AF31" i="4" a="1"/>
  <c r="AF31" i="4" s="1"/>
  <c r="AT31" i="4" s="1"/>
  <c r="AE60" i="4"/>
  <c r="AF60" i="4" a="1"/>
  <c r="AF60" i="4" s="1"/>
  <c r="AR60" i="4" s="1"/>
  <c r="AE66" i="4"/>
  <c r="AF66" i="4" a="1"/>
  <c r="AF66" i="4" s="1"/>
  <c r="AR66" i="4" s="1"/>
  <c r="AE88" i="4"/>
  <c r="AF88" i="4" a="1"/>
  <c r="AF88" i="4" s="1"/>
  <c r="AR88" i="4" s="1"/>
  <c r="AE40" i="4"/>
  <c r="AF40" i="4" a="1"/>
  <c r="AF40" i="4" s="1"/>
  <c r="AU40" i="4" s="1"/>
  <c r="AF115" i="4" a="1"/>
  <c r="AF115" i="4" s="1"/>
  <c r="AR115" i="4" s="1"/>
  <c r="AF75" i="4" a="1"/>
  <c r="AF75" i="4" s="1"/>
  <c r="AR75" i="4" s="1"/>
  <c r="AE54" i="4"/>
  <c r="AF54" i="4" a="1"/>
  <c r="AF54" i="4" s="1"/>
  <c r="AS54" i="4" s="1"/>
  <c r="AF11" i="4" a="1"/>
  <c r="AF11" i="4" s="1"/>
  <c r="AR11" i="4" s="1"/>
  <c r="AE41" i="4"/>
  <c r="AF41" i="4" a="1"/>
  <c r="AF41" i="4" s="1"/>
  <c r="AR41" i="4" s="1"/>
  <c r="AE93" i="4"/>
  <c r="AF93" i="4" a="1"/>
  <c r="AF93" i="4" s="1"/>
  <c r="AF10" i="4" a="1"/>
  <c r="AF10" i="4" s="1"/>
  <c r="AR10" i="4" s="1"/>
  <c r="AF12" i="4" a="1"/>
  <c r="AF12" i="4" s="1"/>
  <c r="AR12" i="4" s="1"/>
  <c r="AE24" i="4"/>
  <c r="AF24" i="4" a="1"/>
  <c r="AF24" i="4" s="1"/>
  <c r="AR24" i="4" s="1"/>
  <c r="AE71" i="4"/>
  <c r="AF71" i="4" a="1"/>
  <c r="AF71" i="4" s="1"/>
  <c r="AR71" i="4" s="1"/>
  <c r="AE57" i="4"/>
  <c r="AF57" i="4" a="1"/>
  <c r="AF57" i="4" s="1"/>
  <c r="AR57" i="4" s="1"/>
  <c r="AF127" i="4" a="1"/>
  <c r="AF127" i="4" s="1"/>
  <c r="AE23" i="4"/>
  <c r="AF23" i="4" a="1"/>
  <c r="AF23" i="4" s="1"/>
  <c r="AR23" i="4" s="1"/>
  <c r="AE44" i="4"/>
  <c r="AF44" i="4" a="1"/>
  <c r="AF44" i="4" s="1"/>
  <c r="AU44" i="4" s="1"/>
  <c r="AE69" i="4"/>
  <c r="AF69" i="4" a="1"/>
  <c r="AF69" i="4" s="1"/>
  <c r="AR69" i="4" s="1"/>
  <c r="AE50" i="4"/>
  <c r="AF50" i="4" a="1"/>
  <c r="AF50" i="4" s="1"/>
  <c r="AR50" i="4" s="1"/>
  <c r="AF94" i="4" a="1"/>
  <c r="AF94" i="4" s="1"/>
  <c r="AR94" i="4" s="1"/>
  <c r="AE45" i="4"/>
  <c r="AF45" i="4" a="1"/>
  <c r="AF45" i="4" s="1"/>
  <c r="AR45" i="4" s="1"/>
  <c r="AF13" i="4" a="1"/>
  <c r="AF13" i="4" s="1"/>
  <c r="AR13" i="4" s="1"/>
  <c r="AF7" i="4" a="1"/>
  <c r="AF7" i="4" s="1"/>
  <c r="AE72" i="4"/>
  <c r="AF72" i="4" a="1"/>
  <c r="AF72" i="4" s="1"/>
  <c r="AR72" i="4" s="1"/>
  <c r="AE55" i="4"/>
  <c r="AF55" i="4" a="1"/>
  <c r="AF55" i="4" s="1"/>
  <c r="AR55" i="4" s="1"/>
  <c r="AE51" i="4"/>
  <c r="AF51" i="4" a="1"/>
  <c r="AF51" i="4" s="1"/>
  <c r="AR51" i="4" s="1"/>
  <c r="AF47" i="4" a="1"/>
  <c r="AF47" i="4" s="1"/>
  <c r="AR47" i="4" s="1"/>
  <c r="AE8" i="4"/>
  <c r="AF8" i="4" a="1"/>
  <c r="AF8" i="4" s="1"/>
  <c r="AR8" i="4" s="1"/>
  <c r="AE68" i="4"/>
  <c r="AF68" i="4" a="1"/>
  <c r="AF68" i="4" s="1"/>
  <c r="AS68" i="4" s="1"/>
  <c r="AE42" i="4"/>
  <c r="AF42" i="4" a="1"/>
  <c r="AF42" i="4" s="1"/>
  <c r="AR42" i="4" s="1"/>
  <c r="AF14" i="4" a="1"/>
  <c r="AF14" i="4" s="1"/>
  <c r="AE124" i="4"/>
  <c r="AF124" i="4" a="1"/>
  <c r="AF124" i="4" s="1"/>
  <c r="AE46" i="4"/>
  <c r="AF46" i="4" a="1"/>
  <c r="AF46" i="4" s="1"/>
  <c r="AR46" i="4" s="1"/>
  <c r="AE6" i="4"/>
  <c r="AF6" i="4" a="1"/>
  <c r="AF6" i="4" s="1"/>
  <c r="AR6" i="4" s="1"/>
  <c r="AE37" i="4"/>
  <c r="AF95" i="4" a="1"/>
  <c r="AF95" i="4" s="1"/>
  <c r="AR95" i="4" s="1"/>
  <c r="AE98" i="4"/>
  <c r="AF98" i="4" a="1"/>
  <c r="AF98" i="4" s="1"/>
  <c r="AR98" i="4" s="1"/>
  <c r="AE53" i="4"/>
  <c r="AF53" i="4" a="1"/>
  <c r="AF53" i="4" s="1"/>
  <c r="AR53" i="4" s="1"/>
  <c r="AE90" i="4"/>
  <c r="AF90" i="4" a="1"/>
  <c r="AF90" i="4" s="1"/>
  <c r="AR90" i="4" s="1"/>
  <c r="AE26" i="4"/>
  <c r="AF26" i="4" a="1"/>
  <c r="AF26" i="4" s="1"/>
  <c r="AR26" i="4" s="1"/>
  <c r="AF15" i="4" a="1"/>
  <c r="AF15" i="4" s="1"/>
  <c r="AR15" i="4" s="1"/>
  <c r="AE86" i="4"/>
  <c r="AF86" i="4" a="1"/>
  <c r="AF86" i="4" s="1"/>
  <c r="AU86" i="4" s="1"/>
  <c r="AE129" i="4"/>
  <c r="AF129" i="4" a="1"/>
  <c r="AF129" i="4" s="1"/>
  <c r="AE39" i="4"/>
  <c r="AF39" i="4" a="1"/>
  <c r="AF39" i="4" s="1"/>
  <c r="AR39" i="4" s="1"/>
  <c r="AE141" i="4"/>
  <c r="AF141" i="4" a="1"/>
  <c r="AF141" i="4" s="1"/>
  <c r="AE61" i="4"/>
  <c r="AF130" i="4" a="1"/>
  <c r="AF130" i="4" s="1"/>
  <c r="AF92" i="4" a="1"/>
  <c r="AF92" i="4" s="1"/>
  <c r="AR92" i="4" s="1"/>
  <c r="AE33" i="4"/>
  <c r="AE115" i="4"/>
  <c r="AE96" i="4"/>
  <c r="AE101" i="4"/>
  <c r="AE14" i="4"/>
  <c r="AE9" i="4"/>
  <c r="AE114" i="4"/>
  <c r="AE22" i="4"/>
  <c r="AE21" i="4"/>
  <c r="AE12" i="4"/>
  <c r="AE97" i="4"/>
  <c r="AE58" i="4"/>
  <c r="AE56" i="4"/>
  <c r="AE25" i="4"/>
  <c r="AE79" i="4"/>
  <c r="AE99" i="4"/>
  <c r="AE113" i="4"/>
  <c r="AE15" i="4"/>
  <c r="AE7" i="4"/>
  <c r="AE102" i="4"/>
  <c r="AE29" i="4"/>
  <c r="AE11" i="4"/>
  <c r="AE75" i="4"/>
  <c r="AE32" i="4"/>
  <c r="AE95" i="4"/>
  <c r="AE122" i="4"/>
  <c r="AE74" i="4"/>
  <c r="AE89" i="4"/>
  <c r="E57" i="8"/>
  <c r="I3" i="8"/>
  <c r="F43" i="8"/>
  <c r="P24" i="8"/>
  <c r="D53" i="8"/>
  <c r="P20" i="8"/>
  <c r="D22" i="8"/>
  <c r="E14" i="8"/>
  <c r="D5" i="8"/>
  <c r="D55" i="8"/>
  <c r="C30" i="8"/>
  <c r="D33" i="8"/>
  <c r="B50" i="8"/>
  <c r="D58" i="8"/>
  <c r="C13" i="8"/>
  <c r="C15" i="8"/>
  <c r="D46" i="8"/>
  <c r="C32" i="8"/>
  <c r="D32" i="8"/>
  <c r="B19" i="8"/>
  <c r="P29" i="8"/>
  <c r="D34" i="8"/>
  <c r="P5" i="8"/>
  <c r="F47" i="8"/>
  <c r="D48" i="8"/>
  <c r="D43" i="8"/>
  <c r="C35" i="8"/>
  <c r="F38" i="8"/>
  <c r="F10" i="8"/>
  <c r="C39" i="8"/>
  <c r="P38" i="8"/>
  <c r="F28" i="8"/>
  <c r="D10" i="8"/>
  <c r="F24" i="8"/>
  <c r="D41" i="8"/>
  <c r="E63" i="8"/>
  <c r="E8" i="8"/>
  <c r="C36" i="8"/>
  <c r="F16" i="8"/>
  <c r="E50" i="8"/>
  <c r="B14" i="8"/>
  <c r="B25" i="8"/>
  <c r="C40" i="8"/>
  <c r="E44" i="8"/>
  <c r="E27" i="8"/>
  <c r="E15" i="8"/>
  <c r="E25" i="8"/>
  <c r="I4" i="8"/>
  <c r="B10" i="8"/>
  <c r="B17" i="8"/>
  <c r="E52" i="8"/>
  <c r="B33" i="8"/>
  <c r="E22" i="8"/>
  <c r="P60" i="8"/>
  <c r="G4" i="8"/>
  <c r="F57" i="8"/>
  <c r="C43" i="8"/>
  <c r="F52" i="8"/>
  <c r="P15" i="8"/>
  <c r="D42" i="8"/>
  <c r="D37" i="8"/>
  <c r="C18" i="8"/>
  <c r="D45" i="8"/>
  <c r="P16" i="8"/>
  <c r="F6" i="8"/>
  <c r="P26" i="8"/>
  <c r="B46" i="8"/>
  <c r="B61" i="8"/>
  <c r="E55" i="8"/>
  <c r="F51" i="8"/>
  <c r="F7" i="8"/>
  <c r="E31" i="8"/>
  <c r="B12" i="8"/>
  <c r="B7" i="8"/>
  <c r="C31" i="8"/>
  <c r="E18" i="8"/>
  <c r="F17" i="8"/>
  <c r="B27" i="8"/>
  <c r="D56" i="8"/>
  <c r="D54" i="8"/>
  <c r="B23" i="8"/>
  <c r="F44" i="8"/>
  <c r="E42" i="8"/>
  <c r="F20" i="8"/>
  <c r="C11" i="8"/>
  <c r="C45" i="8"/>
  <c r="J3" i="8"/>
  <c r="L4" i="8"/>
  <c r="D60" i="8"/>
  <c r="C55" i="8"/>
  <c r="C34" i="8"/>
  <c r="C58" i="8"/>
  <c r="B58" i="8"/>
  <c r="C53" i="8"/>
  <c r="D24" i="8"/>
  <c r="C33" i="8"/>
  <c r="D36" i="8"/>
  <c r="B6" i="8"/>
  <c r="H4" i="8"/>
  <c r="E11" i="8"/>
  <c r="P51" i="8"/>
  <c r="P53" i="8"/>
  <c r="F29" i="8"/>
  <c r="P46" i="8"/>
  <c r="D62" i="8"/>
  <c r="P33" i="8"/>
  <c r="C63" i="8"/>
  <c r="B39" i="8"/>
  <c r="P4" i="8"/>
  <c r="C23" i="8"/>
  <c r="E5" i="8"/>
  <c r="F22" i="8"/>
  <c r="P57" i="8"/>
  <c r="N4" i="8"/>
  <c r="C26" i="8"/>
  <c r="P19" i="8"/>
  <c r="F3" i="8"/>
  <c r="E48" i="8"/>
  <c r="E53" i="8"/>
  <c r="B16" i="8"/>
  <c r="P18" i="8"/>
  <c r="F15" i="8"/>
  <c r="P27" i="8"/>
  <c r="C27" i="8"/>
  <c r="E54" i="8"/>
  <c r="E38" i="8"/>
  <c r="P56" i="8"/>
  <c r="B55" i="8"/>
  <c r="D21" i="8"/>
  <c r="B30" i="8"/>
  <c r="B51" i="8"/>
  <c r="C51" i="8"/>
  <c r="C25" i="8"/>
  <c r="E6" i="8"/>
  <c r="E45" i="8"/>
  <c r="D29" i="8"/>
  <c r="F27" i="8"/>
  <c r="F33" i="8"/>
  <c r="C14" i="8"/>
  <c r="B53" i="8"/>
  <c r="D12" i="8"/>
  <c r="E28" i="8"/>
  <c r="E20" i="8"/>
  <c r="B13" i="8"/>
  <c r="D40" i="8"/>
  <c r="D50" i="8"/>
  <c r="F40" i="8"/>
  <c r="D19" i="8"/>
  <c r="P36" i="8"/>
  <c r="C6" i="8"/>
  <c r="P37" i="8"/>
  <c r="F4" i="8"/>
  <c r="B59" i="8"/>
  <c r="D15" i="8"/>
  <c r="F11" i="8"/>
  <c r="F41" i="8"/>
  <c r="D3" i="8"/>
  <c r="G3" i="8"/>
  <c r="C57" i="8"/>
  <c r="B45" i="8"/>
  <c r="P11" i="8"/>
  <c r="D44" i="8"/>
  <c r="P13" i="8"/>
  <c r="F53" i="8"/>
  <c r="B4" i="8"/>
  <c r="D16" i="8"/>
  <c r="E12" i="8"/>
  <c r="D49" i="8"/>
  <c r="C42" i="8"/>
  <c r="B22" i="8"/>
  <c r="E35" i="8"/>
  <c r="P25" i="8"/>
  <c r="P55" i="8"/>
  <c r="P42" i="8"/>
  <c r="F50" i="8"/>
  <c r="P45" i="8"/>
  <c r="F48" i="8"/>
  <c r="D35" i="8"/>
  <c r="B49" i="8"/>
  <c r="B8" i="8"/>
  <c r="E26" i="8"/>
  <c r="E58" i="8"/>
  <c r="P23" i="8"/>
  <c r="C24" i="8"/>
  <c r="E37" i="8"/>
  <c r="B5" i="8"/>
  <c r="F37" i="8"/>
  <c r="E34" i="8"/>
  <c r="C3" i="8"/>
  <c r="F23" i="8"/>
  <c r="E32" i="8"/>
  <c r="P7" i="8"/>
  <c r="F25" i="8"/>
  <c r="H3" i="8"/>
  <c r="P8" i="8"/>
  <c r="C8" i="8"/>
  <c r="C50" i="8"/>
  <c r="F35" i="8"/>
  <c r="F8" i="8"/>
  <c r="B62" i="8"/>
  <c r="B48" i="8"/>
  <c r="C29" i="8"/>
  <c r="P31" i="8"/>
  <c r="B9" i="8"/>
  <c r="B20" i="8"/>
  <c r="P32" i="8"/>
  <c r="F54" i="8"/>
  <c r="C46" i="8"/>
  <c r="E36" i="8"/>
  <c r="F5" i="8"/>
  <c r="D57" i="8"/>
  <c r="E3" i="8"/>
  <c r="C28" i="8"/>
  <c r="F31" i="8"/>
  <c r="P3" i="8"/>
  <c r="B57" i="8"/>
  <c r="K3" i="8"/>
  <c r="E39" i="8"/>
  <c r="C19" i="8"/>
  <c r="D61" i="8"/>
  <c r="B15" i="8"/>
  <c r="B38" i="8"/>
  <c r="F14" i="8"/>
  <c r="E33" i="8"/>
  <c r="B18" i="8"/>
  <c r="P12" i="8"/>
  <c r="D17" i="8"/>
  <c r="F63" i="8"/>
  <c r="P35" i="8"/>
  <c r="B26" i="8"/>
  <c r="C20" i="8"/>
  <c r="P50" i="8"/>
  <c r="P39" i="8"/>
  <c r="P44" i="8"/>
  <c r="P9" i="8"/>
  <c r="P6" i="8"/>
  <c r="F26" i="8"/>
  <c r="F39" i="8"/>
  <c r="D7" i="8"/>
  <c r="E10" i="8"/>
  <c r="P49" i="8"/>
  <c r="B37" i="8"/>
  <c r="B31" i="8"/>
  <c r="C49" i="8"/>
  <c r="D28" i="8"/>
  <c r="P41" i="8"/>
  <c r="F45" i="8"/>
  <c r="P47" i="8"/>
  <c r="C54" i="8"/>
  <c r="E24" i="8"/>
  <c r="B54" i="8"/>
  <c r="E29" i="8"/>
  <c r="P58" i="8"/>
  <c r="D9" i="8"/>
  <c r="B60" i="8"/>
  <c r="E60" i="8"/>
  <c r="C10" i="8"/>
  <c r="B40" i="8"/>
  <c r="B11" i="8"/>
  <c r="C56" i="8"/>
  <c r="N3" i="8"/>
  <c r="C16" i="8"/>
  <c r="P52" i="8"/>
  <c r="P10" i="8"/>
  <c r="F61" i="8"/>
  <c r="B34" i="8"/>
  <c r="C47" i="8"/>
  <c r="B52" i="8"/>
  <c r="E19" i="8"/>
  <c r="F9" i="8"/>
  <c r="M3" i="8"/>
  <c r="D51" i="8"/>
  <c r="D20" i="8"/>
  <c r="E61" i="8"/>
  <c r="E21" i="8"/>
  <c r="B24" i="8"/>
  <c r="C52" i="8"/>
  <c r="C37" i="8"/>
  <c r="D8" i="8"/>
  <c r="C5" i="8"/>
  <c r="F62" i="8"/>
  <c r="B63" i="8"/>
  <c r="P43" i="8"/>
  <c r="C41" i="8"/>
  <c r="C4" i="8"/>
  <c r="D18" i="8"/>
  <c r="L3" i="8"/>
  <c r="F32" i="8"/>
  <c r="B29" i="8"/>
  <c r="P17" i="8"/>
  <c r="D25" i="8"/>
  <c r="D30" i="8"/>
  <c r="E43" i="8"/>
  <c r="F18" i="8"/>
  <c r="E62" i="8"/>
  <c r="E16" i="8"/>
  <c r="F13" i="8"/>
  <c r="P62" i="8"/>
  <c r="E59" i="8"/>
  <c r="B42" i="8"/>
  <c r="C9" i="8"/>
  <c r="E4" i="8"/>
  <c r="D13" i="8"/>
  <c r="F49" i="8"/>
  <c r="P28" i="8"/>
  <c r="D39" i="8"/>
  <c r="D11" i="8"/>
  <c r="F58" i="8"/>
  <c r="C17" i="8"/>
  <c r="F55" i="8"/>
  <c r="E46" i="8"/>
  <c r="D63" i="8"/>
  <c r="D59" i="8"/>
  <c r="F12" i="8"/>
  <c r="B47" i="8"/>
  <c r="B32" i="8"/>
  <c r="B36" i="8"/>
  <c r="P21" i="8"/>
  <c r="P22" i="8"/>
  <c r="D26" i="8"/>
  <c r="C44" i="8"/>
  <c r="D31" i="8"/>
  <c r="C48" i="8"/>
  <c r="E7" i="8"/>
  <c r="E17" i="8"/>
  <c r="P48" i="8"/>
  <c r="D27" i="8"/>
  <c r="C62" i="8"/>
  <c r="D6" i="8"/>
  <c r="B3" i="8"/>
  <c r="E9" i="8"/>
  <c r="E47" i="8"/>
  <c r="C60" i="8"/>
  <c r="B56" i="8"/>
  <c r="F34" i="8"/>
  <c r="C38" i="8"/>
  <c r="C7" i="8"/>
  <c r="P54" i="8"/>
  <c r="C12" i="8"/>
  <c r="C61" i="8"/>
  <c r="F56" i="8"/>
  <c r="B44" i="8"/>
  <c r="E40" i="8"/>
  <c r="B28" i="8"/>
  <c r="F60" i="8"/>
  <c r="P40" i="8"/>
  <c r="P59" i="8"/>
  <c r="E51" i="8"/>
  <c r="F21" i="8"/>
  <c r="P14" i="8"/>
  <c r="D14" i="8"/>
  <c r="P61" i="8"/>
  <c r="D52" i="8"/>
  <c r="P34" i="8"/>
  <c r="F30" i="8"/>
  <c r="D38" i="8"/>
  <c r="F19" i="8"/>
  <c r="J4" i="8"/>
  <c r="F36" i="8"/>
  <c r="K4" i="8"/>
  <c r="B41" i="8"/>
  <c r="C21" i="8"/>
  <c r="D23" i="8"/>
  <c r="E30" i="8"/>
  <c r="F46" i="8"/>
  <c r="M4" i="8"/>
  <c r="C22" i="8"/>
  <c r="E13" i="8"/>
  <c r="B35" i="8"/>
  <c r="B21" i="8"/>
  <c r="B43" i="8"/>
  <c r="F42" i="8"/>
  <c r="D4" i="8"/>
  <c r="P30" i="8"/>
  <c r="E41" i="8"/>
  <c r="E49" i="8"/>
  <c r="C59" i="8"/>
  <c r="E56" i="8"/>
  <c r="E23" i="8"/>
  <c r="D47" i="8"/>
  <c r="F59" i="8"/>
  <c r="AE76" i="4"/>
  <c r="AE13" i="4"/>
  <c r="AE112" i="4"/>
  <c r="AE16" i="4"/>
  <c r="AE111" i="4"/>
  <c r="AE10" i="4"/>
  <c r="AE127" i="4"/>
  <c r="AE123" i="4"/>
  <c r="AE30" i="4"/>
  <c r="I18" i="4" l="1"/>
  <c r="AR105" i="4"/>
  <c r="AU105" i="4"/>
  <c r="A18" i="4"/>
  <c r="I17" i="4"/>
  <c r="AR104" i="4"/>
  <c r="AU104" i="4"/>
  <c r="I106" i="4"/>
  <c r="AR106" i="4"/>
  <c r="A17" i="4"/>
  <c r="AT104" i="4"/>
  <c r="AS104" i="4"/>
  <c r="AT105" i="4"/>
  <c r="AS105" i="4"/>
  <c r="AU93" i="4"/>
  <c r="AT93" i="4"/>
  <c r="AS21" i="4"/>
  <c r="AR21" i="4"/>
  <c r="AS7" i="4"/>
  <c r="AR7" i="4"/>
  <c r="AT14" i="4"/>
  <c r="AS14" i="4"/>
  <c r="AS38" i="4"/>
  <c r="AR38" i="4"/>
  <c r="I114" i="4"/>
  <c r="AU114" i="4"/>
  <c r="I102" i="4"/>
  <c r="AU102" i="4"/>
  <c r="I61" i="4"/>
  <c r="I49" i="4"/>
  <c r="I27" i="4"/>
  <c r="I95" i="4"/>
  <c r="I41" i="4"/>
  <c r="I38" i="4"/>
  <c r="I116" i="4"/>
  <c r="I87" i="4"/>
  <c r="I32" i="4"/>
  <c r="I96" i="4"/>
  <c r="I99" i="4"/>
  <c r="I30" i="4"/>
  <c r="I47" i="4"/>
  <c r="I23" i="4"/>
  <c r="I54" i="4"/>
  <c r="I73" i="4"/>
  <c r="I110" i="4"/>
  <c r="I37" i="4"/>
  <c r="I53" i="4"/>
  <c r="I29" i="4"/>
  <c r="I94" i="4"/>
  <c r="I39" i="4"/>
  <c r="I42" i="4"/>
  <c r="I8" i="4"/>
  <c r="I51" i="4"/>
  <c r="I50" i="4"/>
  <c r="I44" i="4"/>
  <c r="I88" i="4"/>
  <c r="I60" i="4"/>
  <c r="I25" i="4"/>
  <c r="I22" i="4"/>
  <c r="I48" i="4"/>
  <c r="I59" i="4"/>
  <c r="I113" i="4"/>
  <c r="I105" i="4"/>
  <c r="I33" i="4"/>
  <c r="I74" i="4"/>
  <c r="I69" i="4"/>
  <c r="I40" i="4"/>
  <c r="I58" i="4"/>
  <c r="I91" i="4"/>
  <c r="I112" i="4"/>
  <c r="I122" i="4"/>
  <c r="I92" i="4"/>
  <c r="I26" i="4"/>
  <c r="I46" i="4"/>
  <c r="I55" i="4"/>
  <c r="I71" i="4"/>
  <c r="I97" i="4"/>
  <c r="I90" i="4"/>
  <c r="I98" i="4"/>
  <c r="I72" i="4"/>
  <c r="I45" i="4"/>
  <c r="I57" i="4"/>
  <c r="I24" i="4"/>
  <c r="I115" i="4"/>
  <c r="I56" i="4"/>
  <c r="I52" i="4"/>
  <c r="I80" i="4"/>
  <c r="I111" i="4"/>
  <c r="I100" i="4"/>
  <c r="I123" i="4"/>
  <c r="I89" i="4"/>
  <c r="I43" i="4"/>
  <c r="I76" i="4"/>
  <c r="I104" i="4"/>
  <c r="I129" i="4"/>
  <c r="A129" i="4"/>
  <c r="I85" i="4"/>
  <c r="A104" i="4"/>
  <c r="A29" i="4"/>
  <c r="A58" i="4"/>
  <c r="A112" i="4"/>
  <c r="I130" i="4"/>
  <c r="I11" i="4"/>
  <c r="A11" i="4"/>
  <c r="A66" i="4"/>
  <c r="I66" i="4"/>
  <c r="A101" i="4"/>
  <c r="I101" i="4"/>
  <c r="A59" i="4"/>
  <c r="A7" i="4"/>
  <c r="I7" i="4"/>
  <c r="A44" i="4"/>
  <c r="A76" i="4"/>
  <c r="A43" i="4"/>
  <c r="A33" i="4"/>
  <c r="A102" i="4"/>
  <c r="I31" i="4"/>
  <c r="A31" i="4"/>
  <c r="A114" i="4"/>
  <c r="A40" i="4"/>
  <c r="A14" i="4"/>
  <c r="I14" i="4"/>
  <c r="I128" i="4"/>
  <c r="I126" i="4"/>
  <c r="A51" i="4"/>
  <c r="A105" i="4"/>
  <c r="A113" i="4"/>
  <c r="A93" i="4"/>
  <c r="I93" i="4"/>
  <c r="I75" i="4"/>
  <c r="A75" i="4"/>
  <c r="A9" i="4"/>
  <c r="I9" i="4"/>
  <c r="A61" i="4"/>
  <c r="I15" i="4"/>
  <c r="A15" i="4"/>
  <c r="I141" i="4"/>
  <c r="I6" i="4"/>
  <c r="A60" i="4"/>
  <c r="A50" i="4"/>
  <c r="A32" i="4"/>
  <c r="I125" i="4"/>
  <c r="A38" i="4"/>
  <c r="A96" i="4"/>
  <c r="A54" i="4"/>
  <c r="A74" i="4"/>
  <c r="A86" i="4"/>
  <c r="I86" i="4"/>
  <c r="I124" i="4"/>
  <c r="A12" i="4"/>
  <c r="I12" i="4"/>
  <c r="A111" i="4"/>
  <c r="A16" i="4"/>
  <c r="I16" i="4"/>
  <c r="I10" i="4"/>
  <c r="A10" i="4"/>
  <c r="A30" i="4"/>
  <c r="I78" i="4"/>
  <c r="A78" i="4"/>
  <c r="A13" i="4"/>
  <c r="I13" i="4"/>
  <c r="A53" i="4"/>
  <c r="A68" i="4"/>
  <c r="I68" i="4"/>
  <c r="I127" i="4"/>
  <c r="A79" i="4"/>
  <c r="I79" i="4"/>
  <c r="I21" i="4"/>
  <c r="A21" i="4"/>
  <c r="B141" i="4"/>
  <c r="B124" i="4"/>
  <c r="B132" i="4"/>
  <c r="B17" i="4"/>
  <c r="B135" i="4"/>
  <c r="B126" i="4"/>
  <c r="B16" i="4"/>
  <c r="B14" i="4"/>
  <c r="B134" i="4"/>
  <c r="B15" i="4"/>
  <c r="B12" i="4"/>
  <c r="B138" i="4"/>
  <c r="B129" i="4"/>
  <c r="B121" i="4"/>
  <c r="B128" i="4"/>
  <c r="B13" i="4"/>
  <c r="B122" i="4"/>
  <c r="B140" i="4"/>
  <c r="B8" i="4"/>
  <c r="B125" i="4"/>
  <c r="B139" i="4"/>
  <c r="B137" i="4"/>
  <c r="B136" i="4"/>
  <c r="B11" i="4"/>
  <c r="B123" i="4"/>
  <c r="B131" i="4"/>
  <c r="B9" i="4"/>
  <c r="B127" i="4"/>
  <c r="B7" i="4"/>
  <c r="B6" i="4"/>
  <c r="B10" i="4"/>
  <c r="B133" i="4"/>
  <c r="B130" i="4"/>
  <c r="C22" i="5" l="1"/>
  <c r="D22" i="5"/>
  <c r="E22" i="5"/>
  <c r="F22" i="5"/>
  <c r="B68" i="5"/>
  <c r="H68" i="5"/>
  <c r="U68" i="5"/>
  <c r="N68" i="5"/>
  <c r="T68" i="5"/>
  <c r="C68" i="5"/>
  <c r="I68" i="5"/>
  <c r="O68" i="5"/>
  <c r="D68" i="5"/>
  <c r="J68" i="5"/>
  <c r="S68" i="5"/>
  <c r="P68" i="5"/>
  <c r="V68" i="5"/>
  <c r="E68" i="5"/>
  <c r="K68" i="5"/>
  <c r="Q68" i="5"/>
  <c r="W68" i="5"/>
  <c r="F68" i="5"/>
  <c r="L68" i="5"/>
  <c r="G68" i="5"/>
  <c r="R68" i="5"/>
  <c r="X68" i="5"/>
  <c r="M68" i="5"/>
  <c r="B22" i="5"/>
  <c r="N22" i="5"/>
  <c r="O22" i="5"/>
  <c r="P22" i="5"/>
  <c r="Q22" i="5"/>
  <c r="R22" i="5"/>
  <c r="G22" i="5"/>
  <c r="S22" i="5"/>
  <c r="H22" i="5"/>
  <c r="T22" i="5"/>
  <c r="I22" i="5"/>
  <c r="U22" i="5"/>
  <c r="J22" i="5"/>
  <c r="V22" i="5"/>
  <c r="K22" i="5"/>
  <c r="W22" i="5"/>
  <c r="L22" i="5"/>
  <c r="X22" i="5"/>
  <c r="M22" i="5"/>
  <c r="AP18" i="4"/>
  <c r="AM18" i="4"/>
  <c r="AO18" i="4"/>
  <c r="AM106" i="4"/>
  <c r="AP17" i="4"/>
  <c r="AM17" i="4"/>
  <c r="AO29" i="4"/>
  <c r="AO17" i="4"/>
  <c r="AM50" i="4"/>
  <c r="AM112" i="4"/>
  <c r="AN43" i="4"/>
  <c r="AN59" i="4"/>
  <c r="AN32" i="4"/>
  <c r="AM10" i="4"/>
  <c r="AO16" i="4"/>
  <c r="AO11" i="4"/>
  <c r="AO32" i="4"/>
  <c r="AO79" i="4"/>
  <c r="AO66" i="4"/>
  <c r="AO68" i="4"/>
  <c r="AO58" i="4"/>
  <c r="AO102" i="4"/>
  <c r="AM9" i="4"/>
  <c r="AM15" i="4"/>
  <c r="AO43" i="4"/>
  <c r="AO44" i="4"/>
  <c r="AM13" i="4"/>
  <c r="AN79" i="4"/>
  <c r="AN93" i="4"/>
  <c r="AN40" i="4"/>
  <c r="AO59" i="4"/>
  <c r="AN51" i="4"/>
  <c r="AN60" i="4"/>
  <c r="AO13" i="4"/>
  <c r="AM111" i="4"/>
  <c r="AN16" i="4"/>
  <c r="AN44" i="4"/>
  <c r="AO50" i="4"/>
  <c r="AM61" i="4"/>
  <c r="AN76" i="4"/>
  <c r="AO15" i="4"/>
  <c r="AN33" i="4"/>
  <c r="AN75" i="4"/>
  <c r="AN53" i="4"/>
  <c r="AO54" i="4"/>
  <c r="AO30" i="4"/>
  <c r="AO101" i="4"/>
  <c r="AO60" i="4"/>
  <c r="AN9" i="4"/>
  <c r="AN86" i="4"/>
  <c r="AO40" i="4"/>
  <c r="AN96" i="4"/>
  <c r="AN102" i="4"/>
  <c r="AN11" i="4"/>
  <c r="AN13" i="4"/>
  <c r="AN58" i="4"/>
  <c r="AN50" i="4"/>
  <c r="AM21" i="4"/>
  <c r="AN15" i="4"/>
  <c r="AM44" i="4"/>
  <c r="AO53" i="4"/>
  <c r="AN61" i="4"/>
  <c r="AN30" i="4"/>
  <c r="AN29" i="4"/>
  <c r="AM101" i="4"/>
  <c r="AM105" i="4"/>
  <c r="AM59" i="4"/>
  <c r="AN31" i="4"/>
  <c r="AM40" i="4"/>
  <c r="AN78" i="4"/>
  <c r="AN12" i="4"/>
  <c r="AM31" i="4"/>
  <c r="AO21" i="4"/>
  <c r="AO38" i="4"/>
  <c r="AN101" i="4"/>
  <c r="AN10" i="4"/>
  <c r="AM104" i="4"/>
  <c r="AM29" i="4"/>
  <c r="AM93" i="4"/>
  <c r="AM58" i="4"/>
  <c r="AM74" i="4"/>
  <c r="AM66" i="4"/>
  <c r="AM14" i="4"/>
  <c r="AM75" i="4"/>
  <c r="AM43" i="4"/>
  <c r="AM114" i="4"/>
  <c r="AM30" i="4"/>
  <c r="AM79" i="4"/>
  <c r="AM68" i="4"/>
  <c r="AM38" i="4"/>
  <c r="AM32" i="4"/>
  <c r="AO61" i="4"/>
  <c r="AM12" i="4"/>
  <c r="AM96" i="4"/>
  <c r="AM78" i="4"/>
  <c r="AM51" i="4"/>
  <c r="AM54" i="4"/>
  <c r="AO74" i="4"/>
  <c r="AM7" i="4"/>
  <c r="AM33" i="4"/>
  <c r="AO75" i="4"/>
  <c r="AO51" i="4"/>
  <c r="AO9" i="4"/>
  <c r="AM76" i="4"/>
  <c r="AM86" i="4"/>
  <c r="AM113" i="4"/>
  <c r="AO12" i="4"/>
  <c r="AO7" i="4"/>
  <c r="AO78" i="4"/>
  <c r="AO96" i="4"/>
  <c r="AO10" i="4"/>
  <c r="AO86" i="4"/>
  <c r="AN66" i="4"/>
  <c r="AM60" i="4"/>
  <c r="AO76" i="4"/>
  <c r="AO33" i="4"/>
  <c r="AM53" i="4"/>
  <c r="AM102" i="4"/>
  <c r="AM16" i="4"/>
  <c r="AM11" i="4"/>
  <c r="X29" i="5"/>
  <c r="X34" i="5"/>
  <c r="X31" i="5"/>
  <c r="X37" i="5"/>
  <c r="X28" i="5"/>
  <c r="X30" i="5"/>
  <c r="X36" i="5"/>
  <c r="X33" i="5"/>
  <c r="X26" i="5"/>
  <c r="X35" i="5"/>
  <c r="X32" i="5"/>
  <c r="X27" i="5"/>
  <c r="X7" i="5"/>
  <c r="X8" i="5"/>
  <c r="X5" i="5"/>
  <c r="X4" i="5"/>
  <c r="X6" i="5"/>
  <c r="X11" i="5"/>
  <c r="X9" i="5"/>
  <c r="X10" i="5"/>
  <c r="X3" i="5"/>
  <c r="X18" i="5"/>
  <c r="X19" i="5"/>
  <c r="X17" i="5"/>
  <c r="X16" i="5"/>
  <c r="X20" i="5"/>
  <c r="X15" i="5"/>
  <c r="X44" i="5"/>
  <c r="X48" i="5"/>
  <c r="X45" i="5"/>
  <c r="X42" i="5"/>
  <c r="X47" i="5"/>
  <c r="X46" i="5"/>
  <c r="X43" i="5"/>
  <c r="X54" i="5"/>
  <c r="X56" i="5"/>
  <c r="X58" i="5"/>
  <c r="X53" i="5"/>
  <c r="X55" i="5"/>
  <c r="X57" i="5"/>
  <c r="X59" i="5"/>
  <c r="X66" i="5"/>
  <c r="X67" i="5"/>
  <c r="X64" i="5"/>
  <c r="X65" i="5"/>
  <c r="AP51" i="4"/>
  <c r="AP15" i="4"/>
  <c r="AP13" i="4"/>
  <c r="AP74" i="4"/>
  <c r="AP21" i="4"/>
  <c r="AP68" i="4"/>
  <c r="AP79" i="4"/>
  <c r="AP16" i="4"/>
  <c r="AP76" i="4"/>
  <c r="AP11" i="4"/>
  <c r="AP9" i="4"/>
  <c r="AP75" i="4"/>
  <c r="AP32" i="4"/>
  <c r="AP53" i="4"/>
  <c r="AP66" i="4"/>
  <c r="AP43" i="4"/>
  <c r="AP12" i="4"/>
  <c r="AP54" i="4"/>
  <c r="AP50" i="4"/>
  <c r="AP38" i="4"/>
  <c r="AP14" i="4"/>
  <c r="AP58" i="4"/>
  <c r="AP61" i="4"/>
  <c r="AP60" i="4"/>
  <c r="AP33" i="4"/>
  <c r="AP30" i="4"/>
  <c r="AP31" i="4"/>
  <c r="AP10" i="4"/>
  <c r="AP29" i="4"/>
  <c r="AP7" i="4"/>
  <c r="L28" i="5"/>
  <c r="B67" i="5"/>
  <c r="B71" i="5"/>
  <c r="H77" i="5"/>
  <c r="N83" i="5"/>
  <c r="T89" i="5"/>
  <c r="Q73" i="5"/>
  <c r="W79" i="5"/>
  <c r="F86" i="5"/>
  <c r="D71" i="5"/>
  <c r="O78" i="5"/>
  <c r="C86" i="5"/>
  <c r="F71" i="5"/>
  <c r="H79" i="5"/>
  <c r="C88" i="5"/>
  <c r="O75" i="5"/>
  <c r="B90" i="5"/>
  <c r="F83" i="5"/>
  <c r="N72" i="5"/>
  <c r="U83" i="5"/>
  <c r="K77" i="5"/>
  <c r="V84" i="5"/>
  <c r="P70" i="5"/>
  <c r="G81" i="5"/>
  <c r="F73" i="5"/>
  <c r="H91" i="5"/>
  <c r="V73" i="5"/>
  <c r="K88" i="5"/>
  <c r="F80" i="5"/>
  <c r="L71" i="5"/>
  <c r="L86" i="5"/>
  <c r="S77" i="5"/>
  <c r="I70" i="5"/>
  <c r="E84" i="5"/>
  <c r="K75" i="5"/>
  <c r="S89" i="5"/>
  <c r="H83" i="5"/>
  <c r="U75" i="5"/>
  <c r="E90" i="5"/>
  <c r="F72" i="5"/>
  <c r="M83" i="5"/>
  <c r="M89" i="5"/>
  <c r="H90" i="5"/>
  <c r="V80" i="5"/>
  <c r="D89" i="5"/>
  <c r="K76" i="5"/>
  <c r="F82" i="5"/>
  <c r="W87" i="5"/>
  <c r="U78" i="5"/>
  <c r="D85" i="5"/>
  <c r="G75" i="5"/>
  <c r="S87" i="5"/>
  <c r="M80" i="5"/>
  <c r="B73" i="5"/>
  <c r="O90" i="5"/>
  <c r="V71" i="5"/>
  <c r="L74" i="5"/>
  <c r="G79" i="5"/>
  <c r="R83" i="5"/>
  <c r="W76" i="5"/>
  <c r="P77" i="5"/>
  <c r="O91" i="5"/>
  <c r="H75" i="5"/>
  <c r="O81" i="5"/>
  <c r="U72" i="5"/>
  <c r="E79" i="5"/>
  <c r="X71" i="5"/>
  <c r="O79" i="5"/>
  <c r="J73" i="5"/>
  <c r="P74" i="5"/>
  <c r="H82" i="5"/>
  <c r="N91" i="5"/>
  <c r="D73" i="5"/>
  <c r="P85" i="5"/>
  <c r="V91" i="5"/>
  <c r="B82" i="5"/>
  <c r="N73" i="5"/>
  <c r="O88" i="5"/>
  <c r="F91" i="5"/>
  <c r="T73" i="5"/>
  <c r="C75" i="5"/>
  <c r="U79" i="5"/>
  <c r="U86" i="5"/>
  <c r="E78" i="5"/>
  <c r="W78" i="5"/>
  <c r="G85" i="5"/>
  <c r="S90" i="5"/>
  <c r="C74" i="5"/>
  <c r="V88" i="5"/>
  <c r="H73" i="5"/>
  <c r="U87" i="5"/>
  <c r="O74" i="5"/>
  <c r="Q84" i="5"/>
  <c r="R84" i="5"/>
  <c r="X75" i="5"/>
  <c r="P73" i="5"/>
  <c r="E86" i="5"/>
  <c r="O70" i="5"/>
  <c r="H76" i="5"/>
  <c r="T88" i="5"/>
  <c r="G74" i="5"/>
  <c r="F89" i="5"/>
  <c r="I74" i="5"/>
  <c r="T91" i="5"/>
  <c r="B75" i="5"/>
  <c r="J76" i="5"/>
  <c r="N80" i="5"/>
  <c r="B88" i="5"/>
  <c r="V86" i="5"/>
  <c r="R80" i="5"/>
  <c r="K71" i="5"/>
  <c r="K86" i="5"/>
  <c r="Q91" i="5"/>
  <c r="J75" i="5"/>
  <c r="R89" i="5"/>
  <c r="M74" i="5"/>
  <c r="X88" i="5"/>
  <c r="D82" i="5"/>
  <c r="K70" i="5"/>
  <c r="I91" i="5"/>
  <c r="L91" i="5"/>
  <c r="B81" i="5"/>
  <c r="K80" i="5"/>
  <c r="T76" i="5"/>
  <c r="I89" i="5"/>
  <c r="I82" i="5"/>
  <c r="W74" i="5"/>
  <c r="C70" i="5"/>
  <c r="I76" i="5"/>
  <c r="X76" i="5"/>
  <c r="E81" i="5"/>
  <c r="N70" i="5"/>
  <c r="H81" i="5"/>
  <c r="J81" i="5"/>
  <c r="I87" i="5"/>
  <c r="V70" i="5"/>
  <c r="O76" i="5"/>
  <c r="W90" i="5"/>
  <c r="T75" i="5"/>
  <c r="I83" i="5"/>
  <c r="D77" i="5"/>
  <c r="R79" i="5"/>
  <c r="T74" i="5"/>
  <c r="V85" i="5"/>
  <c r="W80" i="5"/>
  <c r="U89" i="5"/>
  <c r="W82" i="5"/>
  <c r="N75" i="5"/>
  <c r="G71" i="5"/>
  <c r="N77" i="5"/>
  <c r="O77" i="5"/>
  <c r="S81" i="5"/>
  <c r="G89" i="5"/>
  <c r="K89" i="5"/>
  <c r="G83" i="5"/>
  <c r="Q82" i="5"/>
  <c r="L88" i="5"/>
  <c r="G80" i="5"/>
  <c r="M86" i="5"/>
  <c r="E70" i="5"/>
  <c r="B77" i="5"/>
  <c r="N71" i="5"/>
  <c r="T77" i="5"/>
  <c r="C84" i="5"/>
  <c r="I90" i="5"/>
  <c r="F74" i="5"/>
  <c r="L80" i="5"/>
  <c r="R86" i="5"/>
  <c r="R71" i="5"/>
  <c r="F79" i="5"/>
  <c r="S86" i="5"/>
  <c r="T71" i="5"/>
  <c r="X79" i="5"/>
  <c r="Q88" i="5"/>
  <c r="F76" i="5"/>
  <c r="G91" i="5"/>
  <c r="K84" i="5"/>
  <c r="G73" i="5"/>
  <c r="C85" i="5"/>
  <c r="B78" i="5"/>
  <c r="M85" i="5"/>
  <c r="F70" i="5"/>
  <c r="U81" i="5"/>
  <c r="K74" i="5"/>
  <c r="W71" i="5"/>
  <c r="D75" i="5"/>
  <c r="N89" i="5"/>
  <c r="K81" i="5"/>
  <c r="S72" i="5"/>
  <c r="O87" i="5"/>
  <c r="C79" i="5"/>
  <c r="W70" i="5"/>
  <c r="J85" i="5"/>
  <c r="P76" i="5"/>
  <c r="X90" i="5"/>
  <c r="M84" i="5"/>
  <c r="C77" i="5"/>
  <c r="C91" i="5"/>
  <c r="E77" i="5"/>
  <c r="E87" i="5"/>
  <c r="S70" i="5"/>
  <c r="Q79" i="5"/>
  <c r="T84" i="5"/>
  <c r="R70" i="5"/>
  <c r="C72" i="5"/>
  <c r="I78" i="5"/>
  <c r="O84" i="5"/>
  <c r="U90" i="5"/>
  <c r="R74" i="5"/>
  <c r="X80" i="5"/>
  <c r="G87" i="5"/>
  <c r="I72" i="5"/>
  <c r="T79" i="5"/>
  <c r="J87" i="5"/>
  <c r="K72" i="5"/>
  <c r="O80" i="5"/>
  <c r="J89" i="5"/>
  <c r="V76" i="5"/>
  <c r="M70" i="5"/>
  <c r="B85" i="5"/>
  <c r="U73" i="5"/>
  <c r="E71" i="5"/>
  <c r="P78" i="5"/>
  <c r="D86" i="5"/>
  <c r="L77" i="5"/>
  <c r="E83" i="5"/>
  <c r="P75" i="5"/>
  <c r="Q75" i="5"/>
  <c r="L90" i="5"/>
  <c r="R82" i="5"/>
  <c r="X73" i="5"/>
  <c r="M88" i="5"/>
  <c r="H80" i="5"/>
  <c r="P71" i="5"/>
  <c r="N86" i="5"/>
  <c r="W77" i="5"/>
  <c r="D70" i="5"/>
  <c r="T85" i="5"/>
  <c r="H78" i="5"/>
  <c r="E72" i="5"/>
  <c r="K90" i="5"/>
  <c r="H72" i="5"/>
  <c r="J88" i="5"/>
  <c r="O72" i="5"/>
  <c r="J91" i="5"/>
  <c r="M81" i="5"/>
  <c r="W72" i="5"/>
  <c r="X87" i="5"/>
  <c r="F81" i="5"/>
  <c r="D78" i="5"/>
  <c r="I86" i="5"/>
  <c r="S71" i="5"/>
  <c r="T86" i="5"/>
  <c r="J84" i="5"/>
  <c r="F78" i="5"/>
  <c r="W83" i="5"/>
  <c r="P89" i="5"/>
  <c r="Q87" i="5"/>
  <c r="P86" i="5"/>
  <c r="X85" i="5"/>
  <c r="S74" i="5"/>
  <c r="J79" i="5"/>
  <c r="S75" i="5"/>
  <c r="H88" i="5"/>
  <c r="D81" i="5"/>
  <c r="R73" i="5"/>
  <c r="T81" i="5"/>
  <c r="I79" i="5"/>
  <c r="W86" i="5"/>
  <c r="J72" i="5"/>
  <c r="K87" i="5"/>
  <c r="O85" i="5"/>
  <c r="M79" i="5"/>
  <c r="T70" i="5"/>
  <c r="M76" i="5"/>
  <c r="T82" i="5"/>
  <c r="J80" i="5"/>
  <c r="T80" i="5"/>
  <c r="E89" i="5"/>
  <c r="F90" i="5"/>
  <c r="V79" i="5"/>
  <c r="N82" i="5"/>
  <c r="R81" i="5"/>
  <c r="K82" i="5"/>
  <c r="P80" i="5"/>
  <c r="E88" i="5"/>
  <c r="X72" i="5"/>
  <c r="X89" i="5"/>
  <c r="L79" i="5"/>
  <c r="E80" i="5"/>
  <c r="R77" i="5"/>
  <c r="B84" i="5"/>
  <c r="Q81" i="5"/>
  <c r="V75" i="5"/>
  <c r="K73" i="5"/>
  <c r="E74" i="5"/>
  <c r="Q86" i="5"/>
  <c r="G70" i="5"/>
  <c r="C83" i="5"/>
  <c r="U74" i="5"/>
  <c r="V89" i="5"/>
  <c r="D83" i="5"/>
  <c r="L82" i="5"/>
  <c r="L89" i="5"/>
  <c r="O73" i="5"/>
  <c r="P88" i="5"/>
  <c r="D88" i="5"/>
  <c r="W81" i="5"/>
  <c r="R72" i="5"/>
  <c r="B79" i="5"/>
  <c r="I85" i="5"/>
  <c r="V82" i="5"/>
  <c r="D90" i="5"/>
  <c r="G77" i="5"/>
  <c r="L78" i="5"/>
  <c r="Q74" i="5"/>
  <c r="F87" i="5"/>
  <c r="C71" i="5"/>
  <c r="I77" i="5"/>
  <c r="O83" i="5"/>
  <c r="L75" i="5"/>
  <c r="M90" i="5"/>
  <c r="I84" i="5"/>
  <c r="S83" i="5"/>
  <c r="C90" i="5"/>
  <c r="H74" i="5"/>
  <c r="U71" i="5"/>
  <c r="O82" i="5"/>
  <c r="W73" i="5"/>
  <c r="M71" i="5"/>
  <c r="V77" i="5"/>
  <c r="F75" i="5"/>
  <c r="O71" i="5"/>
  <c r="J90" i="5"/>
  <c r="D91" i="5"/>
  <c r="L72" i="5"/>
  <c r="Q90" i="5"/>
  <c r="J82" i="5"/>
  <c r="P90" i="5"/>
  <c r="V83" i="5"/>
  <c r="N81" i="5"/>
  <c r="D79" i="5"/>
  <c r="W88" i="5"/>
  <c r="X86" i="5"/>
  <c r="N78" i="5"/>
  <c r="S84" i="5"/>
  <c r="G76" i="5"/>
  <c r="P72" i="5"/>
  <c r="Q70" i="5"/>
  <c r="S73" i="5"/>
  <c r="L70" i="5"/>
  <c r="Q83" i="5"/>
  <c r="H71" i="5"/>
  <c r="J86" i="5"/>
  <c r="X83" i="5"/>
  <c r="P81" i="5"/>
  <c r="N79" i="5"/>
  <c r="B89" i="5"/>
  <c r="G72" i="5"/>
  <c r="M91" i="5"/>
  <c r="E73" i="5"/>
  <c r="H84" i="5"/>
  <c r="H85" i="5"/>
  <c r="S80" i="5"/>
  <c r="F77" i="5"/>
  <c r="L81" i="5"/>
  <c r="C76" i="5"/>
  <c r="E76" i="5"/>
  <c r="X84" i="5"/>
  <c r="W89" i="5"/>
  <c r="E75" i="5"/>
  <c r="X70" i="5"/>
  <c r="P79" i="5"/>
  <c r="C89" i="5"/>
  <c r="X81" i="5"/>
  <c r="Q76" i="5"/>
  <c r="U76" i="5"/>
  <c r="H86" i="5"/>
  <c r="D80" i="5"/>
  <c r="N90" i="5"/>
  <c r="L76" i="5"/>
  <c r="B74" i="5"/>
  <c r="B91" i="5"/>
  <c r="B86" i="5"/>
  <c r="B70" i="5"/>
  <c r="P82" i="5"/>
  <c r="B72" i="5"/>
  <c r="C87" i="5"/>
  <c r="R87" i="5"/>
  <c r="P83" i="5"/>
  <c r="W84" i="5"/>
  <c r="S78" i="5"/>
  <c r="W85" i="5"/>
  <c r="P84" i="5"/>
  <c r="M77" i="5"/>
  <c r="R90" i="5"/>
  <c r="K85" i="5"/>
  <c r="M78" i="5"/>
  <c r="E85" i="5"/>
  <c r="G86" i="5"/>
  <c r="D76" i="5"/>
  <c r="P91" i="5"/>
  <c r="O86" i="5"/>
  <c r="L83" i="5"/>
  <c r="Q85" i="5"/>
  <c r="L87" i="5"/>
  <c r="B80" i="5"/>
  <c r="T90" i="5"/>
  <c r="M73" i="5"/>
  <c r="R75" i="5"/>
  <c r="D72" i="5"/>
  <c r="V90" i="5"/>
  <c r="R91" i="5"/>
  <c r="C73" i="5"/>
  <c r="X91" i="5"/>
  <c r="X82" i="5"/>
  <c r="U91" i="5"/>
  <c r="F85" i="5"/>
  <c r="S82" i="5"/>
  <c r="I80" i="5"/>
  <c r="G78" i="5"/>
  <c r="V87" i="5"/>
  <c r="F88" i="5"/>
  <c r="I88" i="5"/>
  <c r="K91" i="5"/>
  <c r="S76" i="5"/>
  <c r="W91" i="5"/>
  <c r="H70" i="5"/>
  <c r="J74" i="5"/>
  <c r="I71" i="5"/>
  <c r="M72" i="5"/>
  <c r="H87" i="5"/>
  <c r="U82" i="5"/>
  <c r="K78" i="5"/>
  <c r="W75" i="5"/>
  <c r="U77" i="5"/>
  <c r="T78" i="5"/>
  <c r="T83" i="5"/>
  <c r="T72" i="5"/>
  <c r="C82" i="5"/>
  <c r="G82" i="5"/>
  <c r="J78" i="5"/>
  <c r="R85" i="5"/>
  <c r="Q71" i="5"/>
  <c r="U80" i="5"/>
  <c r="J70" i="5"/>
  <c r="M82" i="5"/>
  <c r="V78" i="5"/>
  <c r="J77" i="5"/>
  <c r="C78" i="5"/>
  <c r="M87" i="5"/>
  <c r="I81" i="5"/>
  <c r="E91" i="5"/>
  <c r="N87" i="5"/>
  <c r="Q77" i="5"/>
  <c r="I75" i="5"/>
  <c r="V72" i="5"/>
  <c r="E82" i="5"/>
  <c r="K83" i="5"/>
  <c r="B76" i="5"/>
  <c r="B83" i="5"/>
  <c r="K79" i="5"/>
  <c r="X77" i="5"/>
  <c r="Q78" i="5"/>
  <c r="R88" i="5"/>
  <c r="S91" i="5"/>
  <c r="U88" i="5"/>
  <c r="X78" i="5"/>
  <c r="N76" i="5"/>
  <c r="D74" i="5"/>
  <c r="J83" i="5"/>
  <c r="C81" i="5"/>
  <c r="D84" i="5"/>
  <c r="V74" i="5"/>
  <c r="X74" i="5"/>
  <c r="L84" i="5"/>
  <c r="O89" i="5"/>
  <c r="P87" i="5"/>
  <c r="F84" i="5"/>
  <c r="I73" i="5"/>
  <c r="B87" i="5"/>
  <c r="G90" i="5"/>
  <c r="G88" i="5"/>
  <c r="N85" i="5"/>
  <c r="C80" i="5"/>
  <c r="M75" i="5"/>
  <c r="S85" i="5"/>
  <c r="N88" i="5"/>
  <c r="N74" i="5"/>
  <c r="L73" i="5"/>
  <c r="U84" i="5"/>
  <c r="J71" i="5"/>
  <c r="N84" i="5"/>
  <c r="L85" i="5"/>
  <c r="R76" i="5"/>
  <c r="U70" i="5"/>
  <c r="U85" i="5"/>
  <c r="G84" i="5"/>
  <c r="S88" i="5"/>
  <c r="Q80" i="5"/>
  <c r="R78" i="5"/>
  <c r="Q89" i="5"/>
  <c r="D87" i="5"/>
  <c r="H89" i="5"/>
  <c r="V81" i="5"/>
  <c r="Q72" i="5"/>
  <c r="T87" i="5"/>
  <c r="S79" i="5"/>
  <c r="N28" i="5"/>
  <c r="P28" i="5"/>
  <c r="O28" i="5"/>
  <c r="I28" i="5"/>
  <c r="Q28" i="5"/>
  <c r="C31" i="5"/>
  <c r="E28" i="5"/>
  <c r="K30" i="5"/>
  <c r="X12" i="5"/>
  <c r="W37" i="5"/>
  <c r="O31" i="5"/>
  <c r="W31" i="5"/>
  <c r="B30" i="5"/>
  <c r="D37" i="5"/>
  <c r="F28" i="5"/>
  <c r="B37" i="5"/>
  <c r="U28" i="5"/>
  <c r="F31" i="5"/>
  <c r="D30" i="5"/>
  <c r="Q37" i="5"/>
  <c r="R28" i="5"/>
  <c r="W30" i="5"/>
  <c r="C37" i="5"/>
  <c r="W28" i="5"/>
  <c r="N31" i="5"/>
  <c r="T28" i="5"/>
  <c r="Q30" i="5"/>
  <c r="J31" i="5"/>
  <c r="S29" i="5"/>
  <c r="C29" i="5"/>
  <c r="Q35" i="5"/>
  <c r="K32" i="5"/>
  <c r="T35" i="5"/>
  <c r="R35" i="5"/>
  <c r="U33" i="5"/>
  <c r="M35" i="5"/>
  <c r="T34" i="5"/>
  <c r="J35" i="5"/>
  <c r="L39" i="5"/>
  <c r="D32" i="5"/>
  <c r="M33" i="5"/>
  <c r="I32" i="5"/>
  <c r="J29" i="5"/>
  <c r="K29" i="5"/>
  <c r="F40" i="5"/>
  <c r="X60" i="5"/>
  <c r="E38" i="5"/>
  <c r="M38" i="5"/>
  <c r="U39" i="5"/>
  <c r="L29" i="5"/>
  <c r="S38" i="5"/>
  <c r="K33" i="5"/>
  <c r="F35" i="5"/>
  <c r="T29" i="5"/>
  <c r="B32" i="5"/>
  <c r="L36" i="5"/>
  <c r="M34" i="5"/>
  <c r="I39" i="5"/>
  <c r="P40" i="5"/>
  <c r="J36" i="5"/>
  <c r="W39" i="5"/>
  <c r="S33" i="5"/>
  <c r="R39" i="5"/>
  <c r="S26" i="5"/>
  <c r="B38" i="5"/>
  <c r="E40" i="5"/>
  <c r="I27" i="5"/>
  <c r="O33" i="5"/>
  <c r="B35" i="5"/>
  <c r="F32" i="5"/>
  <c r="N26" i="5"/>
  <c r="K36" i="5"/>
  <c r="U34" i="5"/>
  <c r="P34" i="5"/>
  <c r="T40" i="5"/>
  <c r="L40" i="5"/>
  <c r="Q39" i="5"/>
  <c r="I38" i="5"/>
  <c r="Q40" i="5"/>
  <c r="O36" i="5"/>
  <c r="O29" i="5"/>
  <c r="L35" i="5"/>
  <c r="V35" i="5"/>
  <c r="U26" i="5"/>
  <c r="H33" i="5"/>
  <c r="P35" i="5"/>
  <c r="E26" i="5"/>
  <c r="F36" i="5"/>
  <c r="B36" i="5"/>
  <c r="K10" i="5"/>
  <c r="E11" i="5"/>
  <c r="H4" i="5"/>
  <c r="E10" i="5"/>
  <c r="Q8" i="5"/>
  <c r="R8" i="5"/>
  <c r="P12" i="5"/>
  <c r="O11" i="5"/>
  <c r="N9" i="5"/>
  <c r="H10" i="5"/>
  <c r="K4" i="5"/>
  <c r="M8" i="5"/>
  <c r="G9" i="5"/>
  <c r="C11" i="5"/>
  <c r="V10" i="5"/>
  <c r="V7" i="5"/>
  <c r="B3" i="5"/>
  <c r="D11" i="5"/>
  <c r="U11" i="5"/>
  <c r="E6" i="5"/>
  <c r="R3" i="5"/>
  <c r="J9" i="5"/>
  <c r="K9" i="5"/>
  <c r="L3" i="5"/>
  <c r="O4" i="5"/>
  <c r="G10" i="5"/>
  <c r="Q11" i="5"/>
  <c r="I6" i="5"/>
  <c r="F9" i="5"/>
  <c r="W9" i="5"/>
  <c r="K12" i="5"/>
  <c r="O12" i="5"/>
  <c r="W11" i="5"/>
  <c r="F10" i="5"/>
  <c r="N5" i="5"/>
  <c r="O5" i="5"/>
  <c r="E5" i="5"/>
  <c r="R6" i="5"/>
  <c r="P3" i="5"/>
  <c r="E12" i="5"/>
  <c r="V12" i="5"/>
  <c r="M12" i="5"/>
  <c r="M6" i="5"/>
  <c r="R4" i="5"/>
  <c r="F6" i="5"/>
  <c r="P9" i="5"/>
  <c r="R12" i="5"/>
  <c r="L8" i="5"/>
  <c r="I3" i="5"/>
  <c r="Q5" i="5"/>
  <c r="I8" i="5"/>
  <c r="N12" i="5"/>
  <c r="O8" i="5"/>
  <c r="V5" i="5"/>
  <c r="D10" i="5"/>
  <c r="H3" i="5"/>
  <c r="S6" i="5"/>
  <c r="J12" i="5"/>
  <c r="I12" i="5"/>
  <c r="L6" i="5"/>
  <c r="Q3" i="5"/>
  <c r="J7" i="5"/>
  <c r="D5" i="5"/>
  <c r="C3" i="5"/>
  <c r="H7" i="5"/>
  <c r="M9" i="5"/>
  <c r="B5" i="5"/>
  <c r="Q6" i="5"/>
  <c r="T11" i="5"/>
  <c r="M3" i="5"/>
  <c r="K3" i="5"/>
  <c r="W10" i="5"/>
  <c r="P10" i="5"/>
  <c r="F11" i="5"/>
  <c r="B9" i="5"/>
  <c r="S3" i="5"/>
  <c r="M10" i="5"/>
  <c r="O6" i="5"/>
  <c r="M11" i="5"/>
  <c r="R7" i="5"/>
  <c r="L7" i="5"/>
  <c r="W3" i="5"/>
  <c r="I4" i="5"/>
  <c r="E7" i="5"/>
  <c r="S4" i="5"/>
  <c r="B11" i="5"/>
  <c r="L12" i="5"/>
  <c r="R9" i="5"/>
  <c r="H12" i="5"/>
  <c r="F12" i="5"/>
  <c r="E8" i="5"/>
  <c r="G3" i="5"/>
  <c r="N8" i="5"/>
  <c r="D3" i="5"/>
  <c r="E9" i="5"/>
  <c r="N6" i="5"/>
  <c r="C10" i="5"/>
  <c r="J11" i="5"/>
  <c r="O7" i="5"/>
  <c r="R5" i="5"/>
  <c r="I10" i="5"/>
  <c r="P4" i="5"/>
  <c r="V4" i="5"/>
  <c r="I9" i="5"/>
  <c r="J6" i="5"/>
  <c r="L11" i="5"/>
  <c r="G7" i="5"/>
  <c r="G4" i="5"/>
  <c r="B4" i="5"/>
  <c r="S11" i="5"/>
  <c r="D7" i="5"/>
  <c r="B12" i="5"/>
  <c r="N3" i="5"/>
  <c r="M4" i="5"/>
  <c r="H6" i="5"/>
  <c r="R10" i="5"/>
  <c r="H9" i="5"/>
  <c r="N4" i="5"/>
  <c r="P8" i="5"/>
  <c r="G8" i="5"/>
  <c r="K5" i="5"/>
  <c r="F3" i="5"/>
  <c r="V9" i="5"/>
  <c r="O3" i="5"/>
  <c r="I5" i="5"/>
  <c r="S12" i="5"/>
  <c r="C9" i="5"/>
  <c r="K8" i="5"/>
  <c r="H5" i="5"/>
  <c r="F8" i="5"/>
  <c r="J4" i="5"/>
  <c r="E3" i="5"/>
  <c r="F7" i="5"/>
  <c r="N11" i="5"/>
  <c r="H11" i="5"/>
  <c r="S9" i="5"/>
  <c r="C12" i="5"/>
  <c r="C7" i="5"/>
  <c r="V8" i="5"/>
  <c r="C5" i="5"/>
  <c r="B7" i="5"/>
  <c r="L10" i="5"/>
  <c r="F5" i="5"/>
  <c r="W8" i="5"/>
  <c r="O9" i="5"/>
  <c r="S5" i="5"/>
  <c r="Q10" i="5"/>
  <c r="W7" i="5"/>
  <c r="S10" i="5"/>
  <c r="W12" i="5"/>
  <c r="J10" i="5"/>
  <c r="I11" i="5"/>
  <c r="J3" i="5"/>
  <c r="D12" i="5"/>
  <c r="G5" i="5"/>
  <c r="P5" i="5"/>
  <c r="N7" i="5"/>
  <c r="D4" i="5"/>
  <c r="S8" i="5"/>
  <c r="Q7" i="5"/>
  <c r="B10" i="5"/>
  <c r="O10" i="5"/>
  <c r="K11" i="5"/>
  <c r="D9" i="5"/>
  <c r="E4" i="5"/>
  <c r="V3" i="5"/>
  <c r="W5" i="5"/>
  <c r="S7" i="5"/>
  <c r="G11" i="5"/>
  <c r="M5" i="5"/>
  <c r="J5" i="5"/>
  <c r="G6" i="5"/>
  <c r="C8" i="5"/>
  <c r="P6" i="5"/>
  <c r="N10" i="5"/>
  <c r="L5" i="5"/>
  <c r="V6" i="5"/>
  <c r="L9" i="5"/>
  <c r="W6" i="5"/>
  <c r="R11" i="5"/>
  <c r="I7" i="5"/>
  <c r="Q4" i="5"/>
  <c r="Q12" i="5"/>
  <c r="H8" i="5"/>
  <c r="D8" i="5"/>
  <c r="P7" i="5"/>
  <c r="W4" i="5"/>
  <c r="B8" i="5"/>
  <c r="C6" i="5"/>
  <c r="K7" i="5"/>
  <c r="Q9" i="5"/>
  <c r="V11" i="5"/>
  <c r="F4" i="5"/>
  <c r="B6" i="5"/>
  <c r="L4" i="5"/>
  <c r="P11" i="5"/>
  <c r="K6" i="5"/>
  <c r="G12" i="5"/>
  <c r="C4" i="5"/>
  <c r="D6" i="5"/>
  <c r="J8" i="5"/>
  <c r="M7" i="5"/>
  <c r="U12" i="5"/>
  <c r="U8" i="5"/>
  <c r="U5" i="5"/>
  <c r="U3" i="5"/>
  <c r="U9" i="5"/>
  <c r="U10" i="5"/>
  <c r="U4" i="5"/>
  <c r="T10" i="5"/>
  <c r="U7" i="5"/>
  <c r="T5" i="5"/>
  <c r="T3" i="5"/>
  <c r="U6" i="5"/>
  <c r="T8" i="5"/>
  <c r="T9" i="5"/>
  <c r="T4" i="5"/>
  <c r="T7" i="5"/>
  <c r="T12" i="5"/>
  <c r="T6" i="5"/>
  <c r="D38" i="5"/>
  <c r="G29" i="5"/>
  <c r="H38" i="5"/>
  <c r="V36" i="5"/>
  <c r="V34" i="5"/>
  <c r="X40" i="5"/>
  <c r="I31" i="5"/>
  <c r="I36" i="5"/>
  <c r="F27" i="5"/>
  <c r="Q29" i="5"/>
  <c r="X38" i="5"/>
  <c r="R40" i="5"/>
  <c r="O40" i="5"/>
  <c r="F26" i="5"/>
  <c r="O26" i="5"/>
  <c r="J37" i="5"/>
  <c r="R29" i="5"/>
  <c r="J32" i="5"/>
  <c r="H26" i="5"/>
  <c r="C34" i="5"/>
  <c r="J26" i="5"/>
  <c r="C30" i="5"/>
  <c r="S36" i="5"/>
  <c r="B33" i="5"/>
  <c r="U29" i="5"/>
  <c r="I34" i="5"/>
  <c r="D36" i="5"/>
  <c r="R34" i="5"/>
  <c r="B40" i="5"/>
  <c r="F29" i="5"/>
  <c r="C38" i="5"/>
  <c r="F37" i="5"/>
  <c r="W35" i="5"/>
  <c r="T31" i="5"/>
  <c r="R30" i="5"/>
  <c r="N34" i="5"/>
  <c r="O34" i="5"/>
  <c r="N35" i="5"/>
  <c r="Q36" i="5"/>
  <c r="R27" i="5"/>
  <c r="S35" i="5"/>
  <c r="H39" i="5"/>
  <c r="U30" i="5"/>
  <c r="S39" i="5"/>
  <c r="G30" i="5"/>
  <c r="B31" i="5"/>
  <c r="H34" i="5"/>
  <c r="L32" i="5"/>
  <c r="Q32" i="5"/>
  <c r="V27" i="5"/>
  <c r="D29" i="5"/>
  <c r="G35" i="5"/>
  <c r="C32" i="5"/>
  <c r="X39" i="5"/>
  <c r="V29" i="5"/>
  <c r="P26" i="5"/>
  <c r="D31" i="5"/>
  <c r="E32" i="5"/>
  <c r="W27" i="5"/>
  <c r="G37" i="5"/>
  <c r="D26" i="5"/>
  <c r="U37" i="5"/>
  <c r="S30" i="5"/>
  <c r="Q31" i="5"/>
  <c r="I35" i="5"/>
  <c r="B39" i="5"/>
  <c r="I37" i="5"/>
  <c r="U40" i="5"/>
  <c r="K27" i="5"/>
  <c r="L26" i="5"/>
  <c r="H32" i="5"/>
  <c r="W36" i="5"/>
  <c r="J40" i="5"/>
  <c r="V33" i="5"/>
  <c r="M30" i="5"/>
  <c r="E37" i="5"/>
  <c r="T32" i="5"/>
  <c r="B26" i="5"/>
  <c r="K38" i="5"/>
  <c r="S40" i="5"/>
  <c r="U42" i="5"/>
  <c r="W42" i="5"/>
  <c r="G42" i="5"/>
  <c r="L47" i="5"/>
  <c r="R44" i="5"/>
  <c r="O49" i="5"/>
  <c r="G46" i="5"/>
  <c r="J45" i="5"/>
  <c r="I51" i="5"/>
  <c r="R48" i="5"/>
  <c r="K49" i="5"/>
  <c r="K46" i="5"/>
  <c r="S49" i="5"/>
  <c r="G45" i="5"/>
  <c r="M47" i="5"/>
  <c r="B49" i="5"/>
  <c r="P42" i="5"/>
  <c r="H42" i="5"/>
  <c r="H43" i="5"/>
  <c r="W45" i="5"/>
  <c r="I45" i="5"/>
  <c r="U50" i="5"/>
  <c r="K50" i="5"/>
  <c r="V46" i="5"/>
  <c r="P50" i="5"/>
  <c r="M45" i="5"/>
  <c r="B48" i="5"/>
  <c r="K43" i="5"/>
  <c r="O46" i="5"/>
  <c r="R42" i="5"/>
  <c r="C42" i="5"/>
  <c r="N43" i="5"/>
  <c r="U48" i="5"/>
  <c r="P48" i="5"/>
  <c r="R50" i="5"/>
  <c r="M44" i="5"/>
  <c r="S43" i="5"/>
  <c r="S46" i="5"/>
  <c r="T50" i="5"/>
  <c r="V50" i="5"/>
  <c r="I50" i="5"/>
  <c r="V45" i="5"/>
  <c r="H51" i="5"/>
  <c r="H47" i="5"/>
  <c r="N47" i="5"/>
  <c r="Q50" i="5"/>
  <c r="I44" i="5"/>
  <c r="T49" i="5"/>
  <c r="G49" i="5"/>
  <c r="W44" i="5"/>
  <c r="S50" i="5"/>
  <c r="B47" i="5"/>
  <c r="H44" i="5"/>
  <c r="P47" i="5"/>
  <c r="C45" i="5"/>
  <c r="F43" i="5"/>
  <c r="F47" i="5"/>
  <c r="I42" i="5"/>
  <c r="S42" i="5"/>
  <c r="S45" i="5"/>
  <c r="L50" i="5"/>
  <c r="O45" i="5"/>
  <c r="V43" i="5"/>
  <c r="V44" i="5"/>
  <c r="C44" i="5"/>
  <c r="E48" i="5"/>
  <c r="N42" i="5"/>
  <c r="M42" i="5"/>
  <c r="G47" i="5"/>
  <c r="W49" i="5"/>
  <c r="L45" i="5"/>
  <c r="O43" i="5"/>
  <c r="B46" i="5"/>
  <c r="L48" i="5"/>
  <c r="O44" i="5"/>
  <c r="G50" i="5"/>
  <c r="F45" i="5"/>
  <c r="E42" i="5"/>
  <c r="V51" i="5"/>
  <c r="B50" i="5"/>
  <c r="V48" i="5"/>
  <c r="K47" i="5"/>
  <c r="G44" i="5"/>
  <c r="W48" i="5"/>
  <c r="X50" i="5"/>
  <c r="U51" i="5"/>
  <c r="R46" i="5"/>
  <c r="D43" i="5"/>
  <c r="F46" i="5"/>
  <c r="D45" i="5"/>
  <c r="J46" i="5"/>
  <c r="I43" i="5"/>
  <c r="G48" i="5"/>
  <c r="W50" i="5"/>
  <c r="E47" i="5"/>
  <c r="J43" i="5"/>
  <c r="L51" i="5"/>
  <c r="Q46" i="5"/>
  <c r="D48" i="5"/>
  <c r="C50" i="5"/>
  <c r="O42" i="5"/>
  <c r="B42" i="5"/>
  <c r="S47" i="5"/>
  <c r="M46" i="5"/>
  <c r="D42" i="5"/>
  <c r="J42" i="5"/>
  <c r="W47" i="5"/>
  <c r="I47" i="5"/>
  <c r="R43" i="5"/>
  <c r="I46" i="5"/>
  <c r="O50" i="5"/>
  <c r="P43" i="5"/>
  <c r="N51" i="5"/>
  <c r="V49" i="5"/>
  <c r="P49" i="5"/>
  <c r="J49" i="5"/>
  <c r="T51" i="5"/>
  <c r="V47" i="5"/>
  <c r="K48" i="5"/>
  <c r="D47" i="5"/>
  <c r="F50" i="5"/>
  <c r="E45" i="5"/>
  <c r="L42" i="5"/>
  <c r="J47" i="5"/>
  <c r="U49" i="5"/>
  <c r="B44" i="5"/>
  <c r="Q49" i="5"/>
  <c r="K45" i="5"/>
  <c r="H48" i="5"/>
  <c r="H45" i="5"/>
  <c r="S51" i="5"/>
  <c r="X49" i="5"/>
  <c r="L44" i="5"/>
  <c r="Q45" i="5"/>
  <c r="C48" i="5"/>
  <c r="E51" i="5"/>
  <c r="C47" i="5"/>
  <c r="T42" i="5"/>
  <c r="J48" i="5"/>
  <c r="W51" i="5"/>
  <c r="S48" i="5"/>
  <c r="V42" i="5"/>
  <c r="M48" i="5"/>
  <c r="O47" i="5"/>
  <c r="B43" i="5"/>
  <c r="J50" i="5"/>
  <c r="D46" i="5"/>
  <c r="P46" i="5"/>
  <c r="G51" i="5"/>
  <c r="X51" i="5"/>
  <c r="K42" i="5"/>
  <c r="R49" i="5"/>
  <c r="W43" i="5"/>
  <c r="H50" i="5"/>
  <c r="L49" i="5"/>
  <c r="E49" i="5"/>
  <c r="F42" i="5"/>
  <c r="H46" i="5"/>
  <c r="T48" i="5"/>
  <c r="B51" i="5"/>
  <c r="N48" i="5"/>
  <c r="C51" i="5"/>
  <c r="N46" i="5"/>
  <c r="K51" i="5"/>
  <c r="R51" i="5"/>
  <c r="B45" i="5"/>
  <c r="G43" i="5"/>
  <c r="E46" i="5"/>
  <c r="F51" i="5"/>
  <c r="M51" i="5"/>
  <c r="L46" i="5"/>
  <c r="I48" i="5"/>
  <c r="M50" i="5"/>
  <c r="F49" i="5"/>
  <c r="F48" i="5"/>
  <c r="R45" i="5"/>
  <c r="S44" i="5"/>
  <c r="Q42" i="5"/>
  <c r="F44" i="5"/>
  <c r="W46" i="5"/>
  <c r="P44" i="5"/>
  <c r="Q44" i="5"/>
  <c r="Q48" i="5"/>
  <c r="E50" i="5"/>
  <c r="D50" i="5"/>
  <c r="K44" i="5"/>
  <c r="M49" i="5"/>
  <c r="J51" i="5"/>
  <c r="D51" i="5"/>
  <c r="D49" i="5"/>
  <c r="M43" i="5"/>
  <c r="O48" i="5"/>
  <c r="N45" i="5"/>
  <c r="N49" i="5"/>
  <c r="E43" i="5"/>
  <c r="E44" i="5"/>
  <c r="P51" i="5"/>
  <c r="Q47" i="5"/>
  <c r="Q51" i="5"/>
  <c r="R47" i="5"/>
  <c r="D44" i="5"/>
  <c r="C46" i="5"/>
  <c r="N44" i="5"/>
  <c r="O51" i="5"/>
  <c r="N50" i="5"/>
  <c r="Q43" i="5"/>
  <c r="I49" i="5"/>
  <c r="C49" i="5"/>
  <c r="J44" i="5"/>
  <c r="H49" i="5"/>
  <c r="C43" i="5"/>
  <c r="L43" i="5"/>
  <c r="P45" i="5"/>
  <c r="U45" i="5"/>
  <c r="T44" i="5"/>
  <c r="U47" i="5"/>
  <c r="T46" i="5"/>
  <c r="U43" i="5"/>
  <c r="T47" i="5"/>
  <c r="U44" i="5"/>
  <c r="T45" i="5"/>
  <c r="U46" i="5"/>
  <c r="T43" i="5"/>
  <c r="J30" i="5"/>
  <c r="W29" i="5"/>
  <c r="D33" i="5"/>
  <c r="L30" i="5"/>
  <c r="P32" i="5"/>
  <c r="G34" i="5"/>
  <c r="M26" i="5"/>
  <c r="I30" i="5"/>
  <c r="C27" i="5"/>
  <c r="D35" i="5"/>
  <c r="G27" i="5"/>
  <c r="K37" i="5"/>
  <c r="N37" i="5"/>
  <c r="M37" i="5"/>
  <c r="Q26" i="5"/>
  <c r="B34" i="5"/>
  <c r="S31" i="5"/>
  <c r="H30" i="5"/>
  <c r="M31" i="5"/>
  <c r="G36" i="5"/>
  <c r="V39" i="5"/>
  <c r="E35" i="5"/>
  <c r="Q64" i="5"/>
  <c r="Q66" i="5"/>
  <c r="D65" i="5"/>
  <c r="L64" i="5"/>
  <c r="M64" i="5"/>
  <c r="V65" i="5"/>
  <c r="I65" i="5"/>
  <c r="O65" i="5"/>
  <c r="J64" i="5"/>
  <c r="E65" i="5"/>
  <c r="N66" i="5"/>
  <c r="I66" i="5"/>
  <c r="L67" i="5"/>
  <c r="E66" i="5"/>
  <c r="N64" i="5"/>
  <c r="C64" i="5"/>
  <c r="G65" i="5"/>
  <c r="L66" i="5"/>
  <c r="M65" i="5"/>
  <c r="R66" i="5"/>
  <c r="G64" i="5"/>
  <c r="E64" i="5"/>
  <c r="W66" i="5"/>
  <c r="B66" i="5"/>
  <c r="J66" i="5"/>
  <c r="I67" i="5"/>
  <c r="P65" i="5"/>
  <c r="M66" i="5"/>
  <c r="G66" i="5"/>
  <c r="K64" i="5"/>
  <c r="F64" i="5"/>
  <c r="F65" i="5"/>
  <c r="R67" i="5"/>
  <c r="R65" i="5"/>
  <c r="B65" i="5"/>
  <c r="P64" i="5"/>
  <c r="G67" i="5"/>
  <c r="P67" i="5"/>
  <c r="V64" i="5"/>
  <c r="T64" i="5"/>
  <c r="T65" i="5"/>
  <c r="K67" i="5"/>
  <c r="D64" i="5"/>
  <c r="B64" i="5"/>
  <c r="S66" i="5"/>
  <c r="K66" i="5"/>
  <c r="S64" i="5"/>
  <c r="R64" i="5"/>
  <c r="S65" i="5"/>
  <c r="H65" i="5"/>
  <c r="C67" i="5"/>
  <c r="N65" i="5"/>
  <c r="E67" i="5"/>
  <c r="F67" i="5"/>
  <c r="H64" i="5"/>
  <c r="V66" i="5"/>
  <c r="F66" i="5"/>
  <c r="J65" i="5"/>
  <c r="U64" i="5"/>
  <c r="O66" i="5"/>
  <c r="Q65" i="5"/>
  <c r="U65" i="5"/>
  <c r="O64" i="5"/>
  <c r="W64" i="5"/>
  <c r="L65" i="5"/>
  <c r="C65" i="5"/>
  <c r="W67" i="5"/>
  <c r="I64" i="5"/>
  <c r="D66" i="5"/>
  <c r="H66" i="5"/>
  <c r="M67" i="5"/>
  <c r="Q67" i="5"/>
  <c r="H67" i="5"/>
  <c r="K65" i="5"/>
  <c r="D67" i="5"/>
  <c r="J67" i="5"/>
  <c r="W65" i="5"/>
  <c r="N67" i="5"/>
  <c r="P66" i="5"/>
  <c r="S67" i="5"/>
  <c r="V67" i="5"/>
  <c r="O67" i="5"/>
  <c r="C66" i="5"/>
  <c r="U66" i="5"/>
  <c r="T66" i="5"/>
  <c r="T67" i="5"/>
  <c r="U67" i="5"/>
  <c r="E33" i="5"/>
  <c r="N30" i="5"/>
  <c r="J39" i="5"/>
  <c r="C28" i="5"/>
  <c r="M28" i="5"/>
  <c r="G26" i="5"/>
  <c r="K26" i="5"/>
  <c r="U27" i="5"/>
  <c r="M39" i="5"/>
  <c r="E34" i="5"/>
  <c r="C33" i="5"/>
  <c r="R38" i="5"/>
  <c r="U35" i="5"/>
  <c r="J28" i="5"/>
  <c r="J27" i="5"/>
  <c r="P37" i="5"/>
  <c r="O39" i="5"/>
  <c r="V28" i="5"/>
  <c r="H40" i="5"/>
  <c r="K31" i="5"/>
  <c r="T36" i="5"/>
  <c r="V38" i="5"/>
  <c r="G33" i="5"/>
  <c r="W33" i="5"/>
  <c r="E29" i="5"/>
  <c r="I40" i="5"/>
  <c r="V40" i="5"/>
  <c r="U38" i="5"/>
  <c r="N40" i="5"/>
  <c r="R33" i="5"/>
  <c r="H29" i="5"/>
  <c r="E39" i="5"/>
  <c r="Q34" i="5"/>
  <c r="K35" i="5"/>
  <c r="C36" i="5"/>
  <c r="W38" i="5"/>
  <c r="H28" i="5"/>
  <c r="L27" i="5"/>
  <c r="K28" i="5"/>
  <c r="M27" i="5"/>
  <c r="F30" i="5"/>
  <c r="D28" i="5"/>
  <c r="P27" i="5"/>
  <c r="W26" i="5"/>
  <c r="G31" i="5"/>
  <c r="N32" i="5"/>
  <c r="W40" i="5"/>
  <c r="H37" i="5"/>
  <c r="U36" i="5"/>
  <c r="S37" i="5"/>
  <c r="N36" i="5"/>
  <c r="G54" i="5"/>
  <c r="O56" i="5"/>
  <c r="P58" i="5"/>
  <c r="N53" i="5"/>
  <c r="P59" i="5"/>
  <c r="K57" i="5"/>
  <c r="P56" i="5"/>
  <c r="B56" i="5"/>
  <c r="H55" i="5"/>
  <c r="O62" i="5"/>
  <c r="U58" i="5"/>
  <c r="C55" i="5"/>
  <c r="Q59" i="5"/>
  <c r="O61" i="5"/>
  <c r="B62" i="5"/>
  <c r="N57" i="5"/>
  <c r="H57" i="5"/>
  <c r="S59" i="5"/>
  <c r="C53" i="5"/>
  <c r="W54" i="5"/>
  <c r="M57" i="5"/>
  <c r="N59" i="5"/>
  <c r="C57" i="5"/>
  <c r="R62" i="5"/>
  <c r="P61" i="5"/>
  <c r="V57" i="5"/>
  <c r="E61" i="5"/>
  <c r="E57" i="5"/>
  <c r="P54" i="5"/>
  <c r="G61" i="5"/>
  <c r="L59" i="5"/>
  <c r="M61" i="5"/>
  <c r="B54" i="5"/>
  <c r="V60" i="5"/>
  <c r="L62" i="5"/>
  <c r="H59" i="5"/>
  <c r="V54" i="5"/>
  <c r="J60" i="5"/>
  <c r="M59" i="5"/>
  <c r="W60" i="5"/>
  <c r="X62" i="5"/>
  <c r="S57" i="5"/>
  <c r="I55" i="5"/>
  <c r="P62" i="5"/>
  <c r="K61" i="5"/>
  <c r="G55" i="5"/>
  <c r="J59" i="5"/>
  <c r="V58" i="5"/>
  <c r="C60" i="5"/>
  <c r="L58" i="5"/>
  <c r="P55" i="5"/>
  <c r="D61" i="5"/>
  <c r="H61" i="5"/>
  <c r="B55" i="5"/>
  <c r="W59" i="5"/>
  <c r="K60" i="5"/>
  <c r="V55" i="5"/>
  <c r="F60" i="5"/>
  <c r="J53" i="5"/>
  <c r="K62" i="5"/>
  <c r="L55" i="5"/>
  <c r="F53" i="5"/>
  <c r="E54" i="5"/>
  <c r="B61" i="5"/>
  <c r="R59" i="5"/>
  <c r="M60" i="5"/>
  <c r="O57" i="5"/>
  <c r="U56" i="5"/>
  <c r="N60" i="5"/>
  <c r="G62" i="5"/>
  <c r="J56" i="5"/>
  <c r="N55" i="5"/>
  <c r="M55" i="5"/>
  <c r="V62" i="5"/>
  <c r="E62" i="5"/>
  <c r="K56" i="5"/>
  <c r="L60" i="5"/>
  <c r="I62" i="5"/>
  <c r="C54" i="5"/>
  <c r="C58" i="5"/>
  <c r="M54" i="5"/>
  <c r="B53" i="5"/>
  <c r="Q62" i="5"/>
  <c r="I61" i="5"/>
  <c r="T56" i="5"/>
  <c r="N54" i="5"/>
  <c r="Q54" i="5"/>
  <c r="L54" i="5"/>
  <c r="P57" i="5"/>
  <c r="S61" i="5"/>
  <c r="E58" i="5"/>
  <c r="I58" i="5"/>
  <c r="V61" i="5"/>
  <c r="D54" i="5"/>
  <c r="B60" i="5"/>
  <c r="F54" i="5"/>
  <c r="U59" i="5"/>
  <c r="R57" i="5"/>
  <c r="G59" i="5"/>
  <c r="J58" i="5"/>
  <c r="I56" i="5"/>
  <c r="D55" i="5"/>
  <c r="R60" i="5"/>
  <c r="N56" i="5"/>
  <c r="W62" i="5"/>
  <c r="L57" i="5"/>
  <c r="I57" i="5"/>
  <c r="J62" i="5"/>
  <c r="R53" i="5"/>
  <c r="Q55" i="5"/>
  <c r="H62" i="5"/>
  <c r="N62" i="5"/>
  <c r="H53" i="5"/>
  <c r="N61" i="5"/>
  <c r="T57" i="5"/>
  <c r="S60" i="5"/>
  <c r="R54" i="5"/>
  <c r="S53" i="5"/>
  <c r="K59" i="5"/>
  <c r="L53" i="5"/>
  <c r="C62" i="5"/>
  <c r="Q53" i="5"/>
  <c r="K58" i="5"/>
  <c r="I53" i="5"/>
  <c r="E55" i="5"/>
  <c r="D60" i="5"/>
  <c r="M53" i="5"/>
  <c r="X61" i="5"/>
  <c r="R55" i="5"/>
  <c r="T61" i="5"/>
  <c r="K54" i="5"/>
  <c r="C59" i="5"/>
  <c r="N58" i="5"/>
  <c r="G58" i="5"/>
  <c r="O53" i="5"/>
  <c r="I59" i="5"/>
  <c r="B57" i="5"/>
  <c r="E60" i="5"/>
  <c r="Q58" i="5"/>
  <c r="F57" i="5"/>
  <c r="F59" i="5"/>
  <c r="F56" i="5"/>
  <c r="G56" i="5"/>
  <c r="S54" i="5"/>
  <c r="B58" i="5"/>
  <c r="U62" i="5"/>
  <c r="F62" i="5"/>
  <c r="O59" i="5"/>
  <c r="D57" i="5"/>
  <c r="G53" i="5"/>
  <c r="D62" i="5"/>
  <c r="G60" i="5"/>
  <c r="E53" i="5"/>
  <c r="F61" i="5"/>
  <c r="R58" i="5"/>
  <c r="D58" i="5"/>
  <c r="L56" i="5"/>
  <c r="U61" i="5"/>
  <c r="B59" i="5"/>
  <c r="W53" i="5"/>
  <c r="P53" i="5"/>
  <c r="J54" i="5"/>
  <c r="K55" i="5"/>
  <c r="S62" i="5"/>
  <c r="E56" i="5"/>
  <c r="V56" i="5"/>
  <c r="C61" i="5"/>
  <c r="T59" i="5"/>
  <c r="T58" i="5"/>
  <c r="H54" i="5"/>
  <c r="F55" i="5"/>
  <c r="L61" i="5"/>
  <c r="I54" i="5"/>
  <c r="K53" i="5"/>
  <c r="D56" i="5"/>
  <c r="T62" i="5"/>
  <c r="O58" i="5"/>
  <c r="Q60" i="5"/>
  <c r="C56" i="5"/>
  <c r="J61" i="5"/>
  <c r="W56" i="5"/>
  <c r="F58" i="5"/>
  <c r="U57" i="5"/>
  <c r="M56" i="5"/>
  <c r="W55" i="5"/>
  <c r="Q56" i="5"/>
  <c r="S58" i="5"/>
  <c r="W58" i="5"/>
  <c r="V53" i="5"/>
  <c r="D59" i="5"/>
  <c r="J55" i="5"/>
  <c r="M58" i="5"/>
  <c r="O60" i="5"/>
  <c r="H58" i="5"/>
  <c r="H56" i="5"/>
  <c r="O54" i="5"/>
  <c r="M62" i="5"/>
  <c r="I60" i="5"/>
  <c r="H60" i="5"/>
  <c r="P60" i="5"/>
  <c r="J57" i="5"/>
  <c r="Q61" i="5"/>
  <c r="E59" i="5"/>
  <c r="S56" i="5"/>
  <c r="W61" i="5"/>
  <c r="S55" i="5"/>
  <c r="R61" i="5"/>
  <c r="G57" i="5"/>
  <c r="D53" i="5"/>
  <c r="Q57" i="5"/>
  <c r="W57" i="5"/>
  <c r="V59" i="5"/>
  <c r="O55" i="5"/>
  <c r="R56" i="5"/>
  <c r="U53" i="5"/>
  <c r="U60" i="5"/>
  <c r="T53" i="5"/>
  <c r="U54" i="5"/>
  <c r="U55" i="5"/>
  <c r="T54" i="5"/>
  <c r="T60" i="5"/>
  <c r="T55" i="5"/>
  <c r="P31" i="5"/>
  <c r="V31" i="5"/>
  <c r="T37" i="5"/>
  <c r="M29" i="5"/>
  <c r="S27" i="5"/>
  <c r="R26" i="5"/>
  <c r="J34" i="5"/>
  <c r="G32" i="5"/>
  <c r="B29" i="5"/>
  <c r="O27" i="5"/>
  <c r="N38" i="5"/>
  <c r="J33" i="5"/>
  <c r="S34" i="5"/>
  <c r="T39" i="5"/>
  <c r="I29" i="5"/>
  <c r="U32" i="5"/>
  <c r="O30" i="5"/>
  <c r="H31" i="5"/>
  <c r="F39" i="5"/>
  <c r="I26" i="5"/>
  <c r="J38" i="5"/>
  <c r="Q27" i="5"/>
  <c r="P36" i="5"/>
  <c r="V30" i="5"/>
  <c r="L33" i="5"/>
  <c r="E27" i="5"/>
  <c r="V37" i="5"/>
  <c r="Q33" i="5"/>
  <c r="W32" i="5"/>
  <c r="P30" i="5"/>
  <c r="K40" i="5"/>
  <c r="P39" i="5"/>
  <c r="L34" i="5"/>
  <c r="C40" i="5"/>
  <c r="F34" i="5"/>
  <c r="V32" i="5"/>
  <c r="K39" i="5"/>
  <c r="M32" i="5"/>
  <c r="U31" i="5"/>
  <c r="V26" i="5"/>
  <c r="G40" i="5"/>
  <c r="C39" i="5"/>
  <c r="O35" i="5"/>
  <c r="E36" i="5"/>
  <c r="T26" i="5"/>
  <c r="D40" i="5"/>
  <c r="H36" i="5"/>
  <c r="N27" i="5"/>
  <c r="W34" i="5"/>
  <c r="Q38" i="5"/>
  <c r="S28" i="5"/>
  <c r="O38" i="5"/>
  <c r="N33" i="5"/>
  <c r="R36" i="5"/>
  <c r="F33" i="5"/>
  <c r="B27" i="5"/>
  <c r="N39" i="5"/>
  <c r="D34" i="5"/>
  <c r="H27" i="5"/>
  <c r="G28" i="5"/>
  <c r="L38" i="5"/>
  <c r="G18" i="5"/>
  <c r="B18" i="5"/>
  <c r="J16" i="5"/>
  <c r="H23" i="5"/>
  <c r="O21" i="5"/>
  <c r="K24" i="5"/>
  <c r="P17" i="5"/>
  <c r="G20" i="5"/>
  <c r="B19" i="5"/>
  <c r="Q23" i="5"/>
  <c r="Q19" i="5"/>
  <c r="J20" i="5"/>
  <c r="M17" i="5"/>
  <c r="D15" i="5"/>
  <c r="E23" i="5"/>
  <c r="R18" i="5"/>
  <c r="K18" i="5"/>
  <c r="P24" i="5"/>
  <c r="R20" i="5"/>
  <c r="Q21" i="5"/>
  <c r="H19" i="5"/>
  <c r="E15" i="5"/>
  <c r="J24" i="5"/>
  <c r="I15" i="5"/>
  <c r="L17" i="5"/>
  <c r="R21" i="5"/>
  <c r="H15" i="5"/>
  <c r="W20" i="5"/>
  <c r="V19" i="5"/>
  <c r="D24" i="5"/>
  <c r="C16" i="5"/>
  <c r="V18" i="5"/>
  <c r="H18" i="5"/>
  <c r="Q17" i="5"/>
  <c r="L24" i="5"/>
  <c r="P19" i="5"/>
  <c r="I21" i="5"/>
  <c r="C15" i="5"/>
  <c r="V21" i="5"/>
  <c r="G24" i="5"/>
  <c r="J21" i="5"/>
  <c r="H21" i="5"/>
  <c r="M21" i="5"/>
  <c r="I24" i="5"/>
  <c r="B24" i="5"/>
  <c r="N17" i="5"/>
  <c r="T21" i="5"/>
  <c r="D16" i="5"/>
  <c r="F19" i="5"/>
  <c r="N18" i="5"/>
  <c r="N24" i="5"/>
  <c r="V23" i="5"/>
  <c r="L19" i="5"/>
  <c r="S19" i="5"/>
  <c r="X21" i="5"/>
  <c r="N19" i="5"/>
  <c r="R24" i="5"/>
  <c r="W16" i="5"/>
  <c r="E16" i="5"/>
  <c r="C20" i="5"/>
  <c r="K17" i="5"/>
  <c r="B15" i="5"/>
  <c r="P21" i="5"/>
  <c r="L21" i="5"/>
  <c r="P20" i="5"/>
  <c r="E18" i="5"/>
  <c r="U23" i="5"/>
  <c r="Q15" i="5"/>
  <c r="U24" i="5"/>
  <c r="F20" i="5"/>
  <c r="J18" i="5"/>
  <c r="B21" i="5"/>
  <c r="X24" i="5"/>
  <c r="S15" i="5"/>
  <c r="R17" i="5"/>
  <c r="B23" i="5"/>
  <c r="L15" i="5"/>
  <c r="J17" i="5"/>
  <c r="V24" i="5"/>
  <c r="Q16" i="5"/>
  <c r="I23" i="5"/>
  <c r="E17" i="5"/>
  <c r="F24" i="5"/>
  <c r="P16" i="5"/>
  <c r="S21" i="5"/>
  <c r="B20" i="5"/>
  <c r="S24" i="5"/>
  <c r="C19" i="5"/>
  <c r="M16" i="5"/>
  <c r="S23" i="5"/>
  <c r="I20" i="5"/>
  <c r="D21" i="5"/>
  <c r="P15" i="5"/>
  <c r="P23" i="5"/>
  <c r="I16" i="5"/>
  <c r="O23" i="5"/>
  <c r="K20" i="5"/>
  <c r="M20" i="5"/>
  <c r="G15" i="5"/>
  <c r="K21" i="5"/>
  <c r="W21" i="5"/>
  <c r="O15" i="5"/>
  <c r="G19" i="5"/>
  <c r="F16" i="5"/>
  <c r="D17" i="5"/>
  <c r="R16" i="5"/>
  <c r="M19" i="5"/>
  <c r="L23" i="5"/>
  <c r="R15" i="5"/>
  <c r="G16" i="5"/>
  <c r="T24" i="5"/>
  <c r="O19" i="5"/>
  <c r="V20" i="5"/>
  <c r="X23" i="5"/>
  <c r="C17" i="5"/>
  <c r="F17" i="5"/>
  <c r="D19" i="5"/>
  <c r="V16" i="5"/>
  <c r="M15" i="5"/>
  <c r="N16" i="5"/>
  <c r="H16" i="5"/>
  <c r="S17" i="5"/>
  <c r="T20" i="5"/>
  <c r="Q20" i="5"/>
  <c r="J23" i="5"/>
  <c r="V17" i="5"/>
  <c r="N21" i="5"/>
  <c r="F15" i="5"/>
  <c r="D20" i="5"/>
  <c r="Q24" i="5"/>
  <c r="F23" i="5"/>
  <c r="L20" i="5"/>
  <c r="S20" i="5"/>
  <c r="W23" i="5"/>
  <c r="K23" i="5"/>
  <c r="C21" i="5"/>
  <c r="E24" i="5"/>
  <c r="I18" i="5"/>
  <c r="N15" i="5"/>
  <c r="N23" i="5"/>
  <c r="W15" i="5"/>
  <c r="J19" i="5"/>
  <c r="O16" i="5"/>
  <c r="C18" i="5"/>
  <c r="W18" i="5"/>
  <c r="M23" i="5"/>
  <c r="O24" i="5"/>
  <c r="K19" i="5"/>
  <c r="F21" i="5"/>
  <c r="P18" i="5"/>
  <c r="G17" i="5"/>
  <c r="J15" i="5"/>
  <c r="B17" i="5"/>
  <c r="L16" i="5"/>
  <c r="N20" i="5"/>
  <c r="U20" i="5"/>
  <c r="E21" i="5"/>
  <c r="H24" i="5"/>
  <c r="B16" i="5"/>
  <c r="S18" i="5"/>
  <c r="W24" i="5"/>
  <c r="K16" i="5"/>
  <c r="H17" i="5"/>
  <c r="C23" i="5"/>
  <c r="M18" i="5"/>
  <c r="I19" i="5"/>
  <c r="G23" i="5"/>
  <c r="O20" i="5"/>
  <c r="W19" i="5"/>
  <c r="C24" i="5"/>
  <c r="O18" i="5"/>
  <c r="U21" i="5"/>
  <c r="V15" i="5"/>
  <c r="I17" i="5"/>
  <c r="M24" i="5"/>
  <c r="D18" i="5"/>
  <c r="Q18" i="5"/>
  <c r="T23" i="5"/>
  <c r="K15" i="5"/>
  <c r="H20" i="5"/>
  <c r="R23" i="5"/>
  <c r="E20" i="5"/>
  <c r="L18" i="5"/>
  <c r="W17" i="5"/>
  <c r="R19" i="5"/>
  <c r="D23" i="5"/>
  <c r="S16" i="5"/>
  <c r="O17" i="5"/>
  <c r="F18" i="5"/>
  <c r="G21" i="5"/>
  <c r="E19" i="5"/>
  <c r="T17" i="5"/>
  <c r="U19" i="5"/>
  <c r="U15" i="5"/>
  <c r="U17" i="5"/>
  <c r="U18" i="5"/>
  <c r="U16" i="5"/>
  <c r="T18" i="5"/>
  <c r="T15" i="5"/>
  <c r="T19" i="5"/>
  <c r="T16" i="5"/>
  <c r="T38" i="5"/>
  <c r="O32" i="5"/>
  <c r="T27" i="5"/>
  <c r="C26" i="5"/>
  <c r="M40" i="5"/>
  <c r="E31" i="5"/>
  <c r="S32" i="5"/>
  <c r="L31" i="5"/>
  <c r="I33" i="5"/>
  <c r="D39" i="5"/>
  <c r="N29" i="5"/>
  <c r="F38" i="5"/>
  <c r="R37" i="5"/>
  <c r="R32" i="5"/>
  <c r="C35" i="5"/>
  <c r="K34" i="5"/>
  <c r="L37" i="5"/>
  <c r="B28" i="5"/>
  <c r="P29" i="5"/>
  <c r="P33" i="5"/>
  <c r="P38" i="5"/>
  <c r="O37" i="5"/>
  <c r="G39" i="5"/>
  <c r="T30" i="5"/>
  <c r="T33" i="5"/>
  <c r="H35" i="5"/>
  <c r="R31" i="5"/>
  <c r="D27" i="5"/>
  <c r="M36" i="5"/>
  <c r="E30" i="5"/>
  <c r="G38" i="5"/>
  <c r="AL13" i="4" l="1"/>
  <c r="C13" i="4" s="1"/>
  <c r="AL76" i="4"/>
  <c r="C76" i="4" s="1"/>
  <c r="AL50" i="4"/>
  <c r="C50" i="4" s="1"/>
  <c r="AL15" i="4"/>
  <c r="C15" i="4" s="1"/>
  <c r="AL58" i="4"/>
  <c r="C58" i="4" s="1"/>
  <c r="AL29" i="4"/>
  <c r="C29" i="4" s="1"/>
  <c r="AL30" i="4"/>
  <c r="C30" i="4" s="1"/>
  <c r="AL10" i="4"/>
  <c r="C10" i="4" s="1"/>
  <c r="AL79" i="4"/>
  <c r="C79" i="4" s="1"/>
  <c r="AL43" i="4"/>
  <c r="C43" i="4" s="1"/>
  <c r="AL32" i="4"/>
  <c r="C32" i="4" s="1"/>
  <c r="AL61" i="4"/>
  <c r="C61" i="4" s="1"/>
  <c r="AL9" i="4"/>
  <c r="C9" i="4" s="1"/>
  <c r="AL12" i="4"/>
  <c r="C12" i="4" s="1"/>
  <c r="AL51" i="4"/>
  <c r="C51" i="4" s="1"/>
  <c r="AL75" i="4"/>
  <c r="C75" i="4" s="1"/>
  <c r="AL66" i="4"/>
  <c r="C66" i="4" s="1"/>
  <c r="AL33" i="4"/>
  <c r="C33" i="4" s="1"/>
  <c r="AL60" i="4"/>
  <c r="C60" i="4" s="1"/>
  <c r="AL53" i="4"/>
  <c r="C53" i="4" s="1"/>
  <c r="AL11" i="4"/>
  <c r="C11" i="4" s="1"/>
  <c r="AM5" i="4"/>
  <c r="AL16" i="4"/>
  <c r="C16" i="4" s="1"/>
  <c r="AN38" i="4"/>
  <c r="AL38" i="4" s="1"/>
  <c r="C38" i="4" s="1"/>
  <c r="AN106" i="4" l="1"/>
  <c r="AN18" i="4"/>
  <c r="AL18" i="4" s="1"/>
  <c r="C18" i="4" s="1"/>
  <c r="AN113" i="4"/>
  <c r="AN112" i="4"/>
  <c r="AN114" i="4"/>
  <c r="AN111" i="4"/>
  <c r="AN104" i="4"/>
  <c r="AN17" i="4"/>
  <c r="AL17" i="4" s="1"/>
  <c r="C17" i="4" s="1"/>
  <c r="AN68" i="4"/>
  <c r="AL68" i="4" s="1"/>
  <c r="C68" i="4" s="1"/>
  <c r="AN105" i="4"/>
  <c r="AN74" i="4"/>
  <c r="AL74" i="4" s="1"/>
  <c r="C74" i="4" s="1"/>
  <c r="AN54" i="4"/>
  <c r="AL54" i="4" s="1"/>
  <c r="C54" i="4" s="1"/>
  <c r="AN14" i="4"/>
  <c r="AN7" i="4"/>
  <c r="AN21" i="4"/>
  <c r="AL21" i="4" s="1"/>
  <c r="C21" i="4" s="1"/>
  <c r="AN5" i="4" l="1"/>
  <c r="AO106" i="4" s="1"/>
  <c r="AL7" i="4"/>
  <c r="C7" i="4" s="1"/>
  <c r="Z4" i="6" s="1"/>
  <c r="AO14" i="4"/>
  <c r="AO114" i="4" l="1"/>
  <c r="AO112" i="4"/>
  <c r="AO111" i="4"/>
  <c r="AO113" i="4"/>
  <c r="AO105" i="4"/>
  <c r="AO93" i="4"/>
  <c r="H3" i="6"/>
  <c r="Y4" i="6"/>
  <c r="W4" i="6"/>
  <c r="J3" i="6"/>
  <c r="N3" i="6"/>
  <c r="O4" i="6"/>
  <c r="W3" i="6"/>
  <c r="AO104" i="4"/>
  <c r="D3" i="6"/>
  <c r="U3" i="6"/>
  <c r="X4" i="6"/>
  <c r="N4" i="6"/>
  <c r="Y3" i="6"/>
  <c r="U4" i="6"/>
  <c r="V4" i="6"/>
  <c r="H4" i="6"/>
  <c r="J4" i="6"/>
  <c r="E3" i="6"/>
  <c r="R3" i="6"/>
  <c r="I4" i="6"/>
  <c r="L3" i="6"/>
  <c r="I3" i="6"/>
  <c r="K4" i="6"/>
  <c r="R4" i="6"/>
  <c r="Q4" i="6"/>
  <c r="Q3" i="6"/>
  <c r="C3" i="6"/>
  <c r="M3" i="6"/>
  <c r="B4" i="6"/>
  <c r="M4" i="6"/>
  <c r="T3" i="6"/>
  <c r="S3" i="6"/>
  <c r="G3" i="6"/>
  <c r="D4" i="6"/>
  <c r="V3" i="6"/>
  <c r="F3" i="6"/>
  <c r="X3" i="6"/>
  <c r="P4" i="6"/>
  <c r="G4" i="6"/>
  <c r="F4" i="6"/>
  <c r="AO31" i="4"/>
  <c r="AL31" i="4" s="1"/>
  <c r="C31" i="4" s="1"/>
  <c r="E4" i="6"/>
  <c r="O3" i="6"/>
  <c r="K3" i="6"/>
  <c r="P3" i="6"/>
  <c r="B3" i="6"/>
  <c r="T4" i="6"/>
  <c r="S4" i="6"/>
  <c r="Z3" i="6"/>
  <c r="L4" i="6"/>
  <c r="C4" i="6"/>
  <c r="AL14" i="4"/>
  <c r="C14" i="4" s="1"/>
  <c r="C8" i="6" s="1"/>
  <c r="V8" i="6" l="1"/>
  <c r="L8" i="6"/>
  <c r="H8" i="6"/>
  <c r="W8" i="6"/>
  <c r="X8" i="6"/>
  <c r="B8" i="6"/>
  <c r="E8" i="6"/>
  <c r="G8" i="6"/>
  <c r="J8" i="6"/>
  <c r="N8" i="6"/>
  <c r="U8" i="6"/>
  <c r="M8" i="6"/>
  <c r="R8" i="6"/>
  <c r="T8" i="6"/>
  <c r="Q8" i="6"/>
  <c r="Z8" i="6"/>
  <c r="O8" i="6"/>
  <c r="S8" i="6"/>
  <c r="Y8" i="6"/>
  <c r="I8" i="6"/>
  <c r="F8" i="6"/>
  <c r="K8" i="6"/>
  <c r="D8" i="6"/>
  <c r="P8" i="6"/>
  <c r="AO5" i="4"/>
  <c r="H5" i="6"/>
  <c r="T5" i="6"/>
  <c r="Z5" i="6"/>
  <c r="G5" i="6"/>
  <c r="X5" i="6"/>
  <c r="Q5" i="6"/>
  <c r="I5" i="6"/>
  <c r="L5" i="6"/>
  <c r="O5" i="6"/>
  <c r="K5" i="6"/>
  <c r="F5" i="6"/>
  <c r="N5" i="6"/>
  <c r="Y5" i="6"/>
  <c r="M5" i="6"/>
  <c r="P5" i="6"/>
  <c r="R5" i="6"/>
  <c r="S5" i="6"/>
  <c r="E5" i="6"/>
  <c r="J5" i="6"/>
  <c r="D5" i="6"/>
  <c r="C5" i="6"/>
  <c r="V5" i="6"/>
  <c r="B5" i="6"/>
  <c r="U5" i="6"/>
  <c r="W5" i="6"/>
  <c r="Z9" i="6"/>
  <c r="I7" i="6"/>
  <c r="N7" i="6"/>
  <c r="F7" i="6"/>
  <c r="U7" i="6"/>
  <c r="S7" i="6"/>
  <c r="B7" i="6"/>
  <c r="G7" i="6"/>
  <c r="R7" i="6"/>
  <c r="V7" i="6"/>
  <c r="L7" i="6"/>
  <c r="Y7" i="6"/>
  <c r="X7" i="6"/>
  <c r="C7" i="6"/>
  <c r="T7" i="6"/>
  <c r="Z10" i="6"/>
  <c r="P7" i="6"/>
  <c r="O7" i="6"/>
  <c r="Z7" i="6"/>
  <c r="K7" i="6"/>
  <c r="Q7" i="6"/>
  <c r="D7" i="6"/>
  <c r="H7" i="6"/>
  <c r="M7" i="6"/>
  <c r="W7" i="6"/>
  <c r="Z6" i="6"/>
  <c r="J7" i="6"/>
  <c r="E7" i="6"/>
  <c r="AP93" i="4"/>
  <c r="AL93" i="4" s="1"/>
  <c r="C93" i="4" s="1"/>
  <c r="W9" i="6"/>
  <c r="E10" i="6"/>
  <c r="D9" i="6"/>
  <c r="F6" i="6"/>
  <c r="R9" i="6"/>
  <c r="E6" i="6"/>
  <c r="E9" i="6"/>
  <c r="N9" i="6"/>
  <c r="R6" i="6"/>
  <c r="P10" i="6"/>
  <c r="I9" i="6"/>
  <c r="S6" i="6"/>
  <c r="R10" i="6"/>
  <c r="G9" i="6"/>
  <c r="X9" i="6"/>
  <c r="Q10" i="6"/>
  <c r="T9" i="6"/>
  <c r="C10" i="6"/>
  <c r="D6" i="6"/>
  <c r="P6" i="6"/>
  <c r="J6" i="6"/>
  <c r="O9" i="6"/>
  <c r="I10" i="6"/>
  <c r="B6" i="6"/>
  <c r="U10" i="6"/>
  <c r="T10" i="6"/>
  <c r="U9" i="6"/>
  <c r="W10" i="6"/>
  <c r="V6" i="6"/>
  <c r="C9" i="6"/>
  <c r="L9" i="6"/>
  <c r="J10" i="6"/>
  <c r="T6" i="6"/>
  <c r="Q6" i="6"/>
  <c r="O10" i="6"/>
  <c r="L6" i="6"/>
  <c r="N10" i="6"/>
  <c r="K6" i="6"/>
  <c r="O6" i="6"/>
  <c r="H6" i="6"/>
  <c r="C6" i="6"/>
  <c r="F9" i="6"/>
  <c r="Y6" i="6"/>
  <c r="N6" i="6"/>
  <c r="S10" i="6"/>
  <c r="D10" i="6"/>
  <c r="S9" i="6"/>
  <c r="Y9" i="6"/>
  <c r="Y10" i="6"/>
  <c r="B9" i="6"/>
  <c r="M9" i="6"/>
  <c r="M10" i="6"/>
  <c r="V10" i="6"/>
  <c r="M6" i="6"/>
  <c r="L10" i="6"/>
  <c r="B10" i="6"/>
  <c r="W6" i="6"/>
  <c r="I6" i="6"/>
  <c r="G6" i="6"/>
  <c r="U6" i="6"/>
  <c r="P9" i="6"/>
  <c r="K9" i="6"/>
  <c r="H10" i="6"/>
  <c r="F10" i="6"/>
  <c r="G10" i="6"/>
  <c r="J9" i="6"/>
  <c r="K10" i="6"/>
  <c r="V9" i="6"/>
  <c r="H9" i="6"/>
  <c r="X6" i="6"/>
  <c r="Q9" i="6"/>
  <c r="X10" i="6"/>
  <c r="AP104" i="4" l="1"/>
  <c r="AL104" i="4" s="1"/>
  <c r="C104" i="4" s="1"/>
  <c r="AP106" i="4"/>
  <c r="AL106" i="4" s="1"/>
  <c r="C106" i="4" s="1"/>
  <c r="AP59" i="4"/>
  <c r="AL59" i="4" s="1"/>
  <c r="C59" i="4" s="1"/>
  <c r="AP105" i="4"/>
  <c r="AL105" i="4" s="1"/>
  <c r="C105" i="4" s="1"/>
  <c r="AP111" i="4"/>
  <c r="AL111" i="4" s="1"/>
  <c r="C111" i="4" s="1"/>
  <c r="AP113" i="4"/>
  <c r="AL113" i="4" s="1"/>
  <c r="C113" i="4" s="1"/>
  <c r="AP112" i="4"/>
  <c r="AL112" i="4" s="1"/>
  <c r="C112" i="4" s="1"/>
  <c r="AP78" i="4"/>
  <c r="AL78" i="4" s="1"/>
  <c r="C78" i="4" s="1"/>
  <c r="AP114" i="4"/>
  <c r="AL114" i="4" s="1"/>
  <c r="C114" i="4" s="1"/>
  <c r="AP40" i="4"/>
  <c r="AL40" i="4" s="1"/>
  <c r="C40" i="4" s="1"/>
  <c r="H16" i="6" s="1"/>
  <c r="AP96" i="4"/>
  <c r="AL96" i="4" s="1"/>
  <c r="C96" i="4" s="1"/>
  <c r="AP44" i="4"/>
  <c r="AL44" i="4" s="1"/>
  <c r="C44" i="4" s="1"/>
  <c r="V23" i="6" s="1"/>
  <c r="AP102" i="4"/>
  <c r="AL102" i="4" s="1"/>
  <c r="C102" i="4" s="1"/>
  <c r="AP101" i="4"/>
  <c r="AL101" i="4" s="1"/>
  <c r="C101" i="4" s="1"/>
  <c r="AP86" i="4"/>
  <c r="AL86" i="4" s="1"/>
  <c r="C86" i="4" s="1"/>
  <c r="W17" i="6"/>
  <c r="U17" i="6"/>
  <c r="J17" i="6"/>
  <c r="R17" i="6"/>
  <c r="M17" i="6"/>
  <c r="Q17" i="6"/>
  <c r="L17" i="6"/>
  <c r="Y17" i="6"/>
  <c r="Z19" i="6"/>
  <c r="Z11" i="6"/>
  <c r="Z32" i="6"/>
  <c r="Z22" i="6"/>
  <c r="Z20" i="6"/>
  <c r="Z14" i="6"/>
  <c r="R19" i="6"/>
  <c r="U14" i="6"/>
  <c r="D20" i="6"/>
  <c r="W11" i="6"/>
  <c r="P22" i="6"/>
  <c r="R14" i="6"/>
  <c r="B19" i="6"/>
  <c r="N20" i="6"/>
  <c r="I19" i="6"/>
  <c r="P14" i="6"/>
  <c r="D19" i="6"/>
  <c r="C20" i="6"/>
  <c r="V32" i="6"/>
  <c r="H22" i="6"/>
  <c r="O19" i="6"/>
  <c r="F11" i="6"/>
  <c r="B22" i="6"/>
  <c r="Y14" i="6"/>
  <c r="J19" i="6"/>
  <c r="S14" i="6"/>
  <c r="V14" i="6"/>
  <c r="X19" i="6"/>
  <c r="J20" i="6"/>
  <c r="Q11" i="6"/>
  <c r="P19" i="6"/>
  <c r="O22" i="6"/>
  <c r="X14" i="6"/>
  <c r="Q22" i="6"/>
  <c r="B32" i="6"/>
  <c r="E19" i="6"/>
  <c r="I32" i="6"/>
  <c r="H14" i="6"/>
  <c r="H19" i="6"/>
  <c r="N32" i="6"/>
  <c r="V20" i="6"/>
  <c r="H11" i="6"/>
  <c r="F22" i="6"/>
  <c r="C32" i="6"/>
  <c r="M22" i="6"/>
  <c r="S20" i="6"/>
  <c r="J14" i="6"/>
  <c r="H20" i="6"/>
  <c r="D11" i="6"/>
  <c r="D22" i="6"/>
  <c r="B11" i="6"/>
  <c r="W20" i="6"/>
  <c r="S19" i="6"/>
  <c r="K19" i="6"/>
  <c r="K22" i="6"/>
  <c r="U11" i="6"/>
  <c r="N19" i="6"/>
  <c r="M19" i="6"/>
  <c r="S11" i="6"/>
  <c r="E14" i="6"/>
  <c r="I22" i="6"/>
  <c r="G32" i="6"/>
  <c r="Y22" i="6"/>
  <c r="M20" i="6"/>
  <c r="F14" i="6"/>
  <c r="P11" i="6"/>
  <c r="R22" i="6"/>
  <c r="G19" i="6"/>
  <c r="Q14" i="6"/>
  <c r="G20" i="6"/>
  <c r="G14" i="6"/>
  <c r="G22" i="6"/>
  <c r="N22" i="6"/>
  <c r="T22" i="6"/>
  <c r="C22" i="6"/>
  <c r="V22" i="6"/>
  <c r="T19" i="6"/>
  <c r="O11" i="6"/>
  <c r="V19" i="6"/>
  <c r="T20" i="6"/>
  <c r="S22" i="6"/>
  <c r="C19" i="6"/>
  <c r="G11" i="6"/>
  <c r="I14" i="6"/>
  <c r="F20" i="6"/>
  <c r="W14" i="6"/>
  <c r="M14" i="6"/>
  <c r="T14" i="6"/>
  <c r="W22" i="6"/>
  <c r="N11" i="6"/>
  <c r="I11" i="6"/>
  <c r="I20" i="6"/>
  <c r="J11" i="6"/>
  <c r="K20" i="6"/>
  <c r="U22" i="6"/>
  <c r="M11" i="6"/>
  <c r="L14" i="6"/>
  <c r="K11" i="6"/>
  <c r="L32" i="6"/>
  <c r="T11" i="6"/>
  <c r="W32" i="6"/>
  <c r="X20" i="6"/>
  <c r="J22" i="6"/>
  <c r="M32" i="6"/>
  <c r="E11" i="6"/>
  <c r="U32" i="6"/>
  <c r="Q20" i="6"/>
  <c r="E20" i="6"/>
  <c r="B14" i="6"/>
  <c r="U20" i="6"/>
  <c r="Q32" i="6"/>
  <c r="Y19" i="6"/>
  <c r="Y11" i="6"/>
  <c r="C14" i="6"/>
  <c r="P32" i="6"/>
  <c r="X22" i="6"/>
  <c r="Y32" i="6"/>
  <c r="E22" i="6"/>
  <c r="D32" i="6"/>
  <c r="U19" i="6"/>
  <c r="K32" i="6"/>
  <c r="W19" i="6"/>
  <c r="L19" i="6"/>
  <c r="Y20" i="6"/>
  <c r="C11" i="6"/>
  <c r="L11" i="6"/>
  <c r="S32" i="6"/>
  <c r="V11" i="6"/>
  <c r="O32" i="6"/>
  <c r="F32" i="6"/>
  <c r="H32" i="6"/>
  <c r="J32" i="6"/>
  <c r="O20" i="6"/>
  <c r="Q19" i="6"/>
  <c r="L22" i="6"/>
  <c r="E32" i="6"/>
  <c r="B20" i="6"/>
  <c r="N14" i="6"/>
  <c r="R20" i="6"/>
  <c r="X32" i="6"/>
  <c r="X11" i="6"/>
  <c r="R32" i="6"/>
  <c r="R11" i="6"/>
  <c r="P20" i="6"/>
  <c r="O14" i="6"/>
  <c r="D14" i="6"/>
  <c r="T32" i="6"/>
  <c r="L20" i="6"/>
  <c r="F19" i="6"/>
  <c r="K14" i="6"/>
  <c r="W16" i="6" l="1"/>
  <c r="J26" i="6"/>
  <c r="U45" i="6"/>
  <c r="J12" i="6"/>
  <c r="G26" i="6"/>
  <c r="S27" i="6"/>
  <c r="V34" i="6"/>
  <c r="P24" i="6"/>
  <c r="B44" i="6"/>
  <c r="G44" i="6"/>
  <c r="Q16" i="6"/>
  <c r="F23" i="6"/>
  <c r="U16" i="6"/>
  <c r="R45" i="6"/>
  <c r="S44" i="6"/>
  <c r="L45" i="6"/>
  <c r="D21" i="6"/>
  <c r="J45" i="6"/>
  <c r="X44" i="6"/>
  <c r="G43" i="6"/>
  <c r="K27" i="6"/>
  <c r="F45" i="6"/>
  <c r="I12" i="6"/>
  <c r="D12" i="6"/>
  <c r="E45" i="6"/>
  <c r="O43" i="6"/>
  <c r="B45" i="6"/>
  <c r="T12" i="6"/>
  <c r="C26" i="6"/>
  <c r="R27" i="6"/>
  <c r="R34" i="6"/>
  <c r="C24" i="6"/>
  <c r="L36" i="6"/>
  <c r="S12" i="6"/>
  <c r="D24" i="6"/>
  <c r="O24" i="6"/>
  <c r="Q27" i="6"/>
  <c r="C34" i="6"/>
  <c r="X12" i="6"/>
  <c r="B43" i="6"/>
  <c r="L26" i="6"/>
  <c r="D36" i="6"/>
  <c r="X45" i="6"/>
  <c r="J34" i="6"/>
  <c r="Q43" i="6"/>
  <c r="M26" i="6"/>
  <c r="P27" i="6"/>
  <c r="Y24" i="6"/>
  <c r="K12" i="6"/>
  <c r="Q44" i="6"/>
  <c r="S24" i="6"/>
  <c r="O27" i="6"/>
  <c r="W44" i="6"/>
  <c r="I21" i="6"/>
  <c r="P26" i="6"/>
  <c r="C44" i="6"/>
  <c r="V26" i="6"/>
  <c r="N43" i="6"/>
  <c r="O21" i="6"/>
  <c r="F16" i="6"/>
  <c r="H24" i="6"/>
  <c r="M43" i="6"/>
  <c r="D43" i="6"/>
  <c r="E43" i="6"/>
  <c r="N34" i="6"/>
  <c r="Q34" i="6"/>
  <c r="O12" i="6"/>
  <c r="F44" i="6"/>
  <c r="Y43" i="6"/>
  <c r="V16" i="6"/>
  <c r="W43" i="6"/>
  <c r="Y36" i="6"/>
  <c r="N44" i="6"/>
  <c r="X43" i="6"/>
  <c r="U23" i="6"/>
  <c r="L23" i="6"/>
  <c r="K16" i="6"/>
  <c r="Q24" i="6"/>
  <c r="Y45" i="6"/>
  <c r="T45" i="6"/>
  <c r="U24" i="6"/>
  <c r="Y27" i="6"/>
  <c r="G12" i="6"/>
  <c r="O16" i="6"/>
  <c r="J23" i="6"/>
  <c r="H43" i="6"/>
  <c r="M45" i="6"/>
  <c r="V43" i="6"/>
  <c r="D23" i="6"/>
  <c r="K43" i="6"/>
  <c r="E27" i="6"/>
  <c r="H12" i="6"/>
  <c r="L16" i="6"/>
  <c r="B27" i="6"/>
  <c r="U43" i="6"/>
  <c r="S23" i="6"/>
  <c r="P44" i="6"/>
  <c r="I24" i="6"/>
  <c r="X27" i="6"/>
  <c r="T16" i="6"/>
  <c r="N21" i="6"/>
  <c r="G24" i="6"/>
  <c r="W26" i="6"/>
  <c r="H34" i="6"/>
  <c r="K34" i="6"/>
  <c r="V21" i="6"/>
  <c r="B12" i="6"/>
  <c r="Q26" i="6"/>
  <c r="W21" i="6"/>
  <c r="H23" i="6"/>
  <c r="K44" i="6"/>
  <c r="N26" i="6"/>
  <c r="Y34" i="6"/>
  <c r="S21" i="6"/>
  <c r="U12" i="6"/>
  <c r="P12" i="6"/>
  <c r="W24" i="6"/>
  <c r="H26" i="6"/>
  <c r="G21" i="6"/>
  <c r="F21" i="6"/>
  <c r="X46" i="6"/>
  <c r="P45" i="6"/>
  <c r="J46" i="6"/>
  <c r="B46" i="6"/>
  <c r="R23" i="6"/>
  <c r="H21" i="6"/>
  <c r="W46" i="6"/>
  <c r="L44" i="6"/>
  <c r="M46" i="6"/>
  <c r="L46" i="6"/>
  <c r="P46" i="6"/>
  <c r="S46" i="6"/>
  <c r="Y39" i="6"/>
  <c r="F46" i="6"/>
  <c r="V18" i="6"/>
  <c r="E46" i="6"/>
  <c r="I46" i="6"/>
  <c r="T43" i="6"/>
  <c r="S45" i="6"/>
  <c r="K46" i="6"/>
  <c r="R46" i="6"/>
  <c r="P21" i="6"/>
  <c r="D45" i="6"/>
  <c r="G27" i="6"/>
  <c r="M16" i="6"/>
  <c r="E29" i="6"/>
  <c r="H31" i="6"/>
  <c r="R24" i="6"/>
  <c r="C27" i="6"/>
  <c r="C46" i="6"/>
  <c r="T34" i="6"/>
  <c r="M12" i="6"/>
  <c r="J36" i="6"/>
  <c r="F27" i="6"/>
  <c r="G16" i="6"/>
  <c r="B24" i="6"/>
  <c r="E34" i="6"/>
  <c r="K24" i="6"/>
  <c r="T23" i="6"/>
  <c r="F26" i="6"/>
  <c r="V45" i="6"/>
  <c r="D16" i="6"/>
  <c r="I26" i="6"/>
  <c r="N45" i="6"/>
  <c r="R12" i="6"/>
  <c r="J16" i="6"/>
  <c r="P16" i="6"/>
  <c r="D46" i="6"/>
  <c r="Q46" i="6"/>
  <c r="E26" i="6"/>
  <c r="E13" i="6"/>
  <c r="N12" i="6"/>
  <c r="N16" i="6"/>
  <c r="U44" i="6"/>
  <c r="B34" i="6"/>
  <c r="B16" i="6"/>
  <c r="E16" i="6"/>
  <c r="W34" i="6"/>
  <c r="X16" i="6"/>
  <c r="Z45" i="6"/>
  <c r="I13" i="6"/>
  <c r="T26" i="6"/>
  <c r="R26" i="6"/>
  <c r="R16" i="6"/>
  <c r="O45" i="6"/>
  <c r="U27" i="6"/>
  <c r="U21" i="6"/>
  <c r="S34" i="6"/>
  <c r="K45" i="6"/>
  <c r="Q12" i="6"/>
  <c r="P43" i="6"/>
  <c r="R44" i="6"/>
  <c r="L12" i="6"/>
  <c r="Q23" i="6"/>
  <c r="X21" i="6"/>
  <c r="C16" i="6"/>
  <c r="I34" i="6"/>
  <c r="R15" i="6"/>
  <c r="F24" i="6"/>
  <c r="G13" i="6"/>
  <c r="Y23" i="6"/>
  <c r="Q21" i="6"/>
  <c r="V36" i="6"/>
  <c r="D44" i="6"/>
  <c r="E36" i="6"/>
  <c r="H44" i="6"/>
  <c r="Z16" i="6"/>
  <c r="V27" i="6"/>
  <c r="Z15" i="6"/>
  <c r="X13" i="6"/>
  <c r="J21" i="6"/>
  <c r="S26" i="6"/>
  <c r="Z34" i="6"/>
  <c r="O29" i="6"/>
  <c r="O23" i="6"/>
  <c r="E12" i="6"/>
  <c r="L34" i="6"/>
  <c r="L27" i="6"/>
  <c r="N23" i="6"/>
  <c r="W23" i="6"/>
  <c r="Y12" i="6"/>
  <c r="Y16" i="6"/>
  <c r="E44" i="6"/>
  <c r="T44" i="6"/>
  <c r="S15" i="6"/>
  <c r="U15" i="6"/>
  <c r="Y29" i="6"/>
  <c r="B21" i="6"/>
  <c r="Z12" i="6"/>
  <c r="F15" i="6"/>
  <c r="S13" i="6"/>
  <c r="J29" i="6"/>
  <c r="D13" i="6"/>
  <c r="J15" i="6"/>
  <c r="N13" i="6"/>
  <c r="R29" i="6"/>
  <c r="P35" i="6"/>
  <c r="H15" i="6"/>
  <c r="I15" i="6"/>
  <c r="J27" i="6"/>
  <c r="W45" i="6"/>
  <c r="O44" i="6"/>
  <c r="Z21" i="6"/>
  <c r="Y13" i="6"/>
  <c r="O13" i="6"/>
  <c r="X23" i="6"/>
  <c r="I45" i="6"/>
  <c r="I44" i="6"/>
  <c r="Z44" i="6"/>
  <c r="C13" i="6"/>
  <c r="L15" i="6"/>
  <c r="T13" i="6"/>
  <c r="C29" i="6"/>
  <c r="G15" i="6"/>
  <c r="P13" i="6"/>
  <c r="K13" i="6"/>
  <c r="M29" i="6"/>
  <c r="S16" i="6"/>
  <c r="I16" i="6"/>
  <c r="T46" i="6"/>
  <c r="C45" i="6"/>
  <c r="Z23" i="6"/>
  <c r="U13" i="6"/>
  <c r="P15" i="6"/>
  <c r="X24" i="6"/>
  <c r="K42" i="6"/>
  <c r="V44" i="6"/>
  <c r="C43" i="6"/>
  <c r="M34" i="6"/>
  <c r="Z26" i="6"/>
  <c r="C15" i="6"/>
  <c r="V13" i="6"/>
  <c r="H13" i="6"/>
  <c r="Q15" i="6"/>
  <c r="D29" i="6"/>
  <c r="D27" i="6"/>
  <c r="D34" i="6"/>
  <c r="E21" i="6"/>
  <c r="G23" i="6"/>
  <c r="K23" i="6"/>
  <c r="P34" i="6"/>
  <c r="T21" i="6"/>
  <c r="V12" i="6"/>
  <c r="I27" i="6"/>
  <c r="L43" i="6"/>
  <c r="C21" i="6"/>
  <c r="F43" i="6"/>
  <c r="C23" i="6"/>
  <c r="S43" i="6"/>
  <c r="I23" i="6"/>
  <c r="Y46" i="6"/>
  <c r="C12" i="6"/>
  <c r="Z27" i="6"/>
  <c r="E15" i="6"/>
  <c r="L13" i="6"/>
  <c r="O15" i="6"/>
  <c r="Y15" i="6"/>
  <c r="W29" i="6"/>
  <c r="M41" i="6"/>
  <c r="Z25" i="6"/>
  <c r="V46" i="6"/>
  <c r="T24" i="6"/>
  <c r="O46" i="6"/>
  <c r="I43" i="6"/>
  <c r="Y44" i="6"/>
  <c r="U26" i="6"/>
  <c r="X34" i="6"/>
  <c r="B23" i="6"/>
  <c r="O33" i="6"/>
  <c r="O26" i="6"/>
  <c r="J24" i="6"/>
  <c r="N46" i="6"/>
  <c r="D26" i="6"/>
  <c r="L24" i="6"/>
  <c r="K26" i="6"/>
  <c r="Y26" i="6"/>
  <c r="K21" i="6"/>
  <c r="H46" i="6"/>
  <c r="F34" i="6"/>
  <c r="W12" i="6"/>
  <c r="Z43" i="6"/>
  <c r="D15" i="6"/>
  <c r="J13" i="6"/>
  <c r="F13" i="6"/>
  <c r="V15" i="6"/>
  <c r="T29" i="6"/>
  <c r="Z29" i="6"/>
  <c r="U37" i="6"/>
  <c r="J37" i="6"/>
  <c r="P37" i="6"/>
  <c r="Y37" i="6"/>
  <c r="E37" i="6"/>
  <c r="W37" i="6"/>
  <c r="R37" i="6"/>
  <c r="C37" i="6"/>
  <c r="Z37" i="6"/>
  <c r="T37" i="6"/>
  <c r="Q37" i="6"/>
  <c r="D37" i="6"/>
  <c r="K37" i="6"/>
  <c r="B37" i="6"/>
  <c r="V37" i="6"/>
  <c r="H37" i="6"/>
  <c r="L37" i="6"/>
  <c r="G37" i="6"/>
  <c r="I37" i="6"/>
  <c r="F37" i="6"/>
  <c r="S37" i="6"/>
  <c r="O37" i="6"/>
  <c r="X37" i="6"/>
  <c r="N37" i="6"/>
  <c r="M37" i="6"/>
  <c r="Q42" i="6"/>
  <c r="J44" i="6"/>
  <c r="B26" i="6"/>
  <c r="E24" i="6"/>
  <c r="R43" i="6"/>
  <c r="F12" i="6"/>
  <c r="O34" i="6"/>
  <c r="X26" i="6"/>
  <c r="N24" i="6"/>
  <c r="M44" i="6"/>
  <c r="J43" i="6"/>
  <c r="G34" i="6"/>
  <c r="Q13" i="6"/>
  <c r="B13" i="6"/>
  <c r="B29" i="6"/>
  <c r="J33" i="6"/>
  <c r="R21" i="6"/>
  <c r="M21" i="6"/>
  <c r="P23" i="6"/>
  <c r="G46" i="6"/>
  <c r="Y21" i="6"/>
  <c r="V24" i="6"/>
  <c r="M24" i="6"/>
  <c r="E23" i="6"/>
  <c r="U46" i="6"/>
  <c r="U34" i="6"/>
  <c r="M23" i="6"/>
  <c r="L21" i="6"/>
  <c r="Z46" i="6"/>
  <c r="Z24" i="6"/>
  <c r="M15" i="6"/>
  <c r="W15" i="6"/>
  <c r="M13" i="6"/>
  <c r="N15" i="6"/>
  <c r="K29" i="6"/>
  <c r="F18" i="6"/>
  <c r="Q33" i="6"/>
  <c r="T33" i="6"/>
  <c r="P18" i="6"/>
  <c r="D33" i="6"/>
  <c r="L33" i="6"/>
  <c r="R33" i="6"/>
  <c r="X31" i="6"/>
  <c r="X15" i="6"/>
  <c r="S29" i="6"/>
  <c r="P39" i="6"/>
  <c r="R13" i="6"/>
  <c r="X33" i="6"/>
  <c r="I39" i="6"/>
  <c r="X42" i="6"/>
  <c r="M33" i="6"/>
  <c r="W47" i="6"/>
  <c r="E33" i="6"/>
  <c r="X25" i="6"/>
  <c r="M31" i="6"/>
  <c r="P33" i="6"/>
  <c r="J38" i="6"/>
  <c r="R31" i="6"/>
  <c r="N31" i="6"/>
  <c r="L25" i="6"/>
  <c r="I31" i="6"/>
  <c r="V33" i="6"/>
  <c r="W25" i="6"/>
  <c r="C31" i="6"/>
  <c r="G18" i="6"/>
  <c r="X41" i="6"/>
  <c r="I38" i="6"/>
  <c r="H33" i="6"/>
  <c r="B31" i="6"/>
  <c r="Y25" i="6"/>
  <c r="G31" i="6"/>
  <c r="V39" i="6"/>
  <c r="S42" i="6"/>
  <c r="Q18" i="6"/>
  <c r="D42" i="6"/>
  <c r="X39" i="6"/>
  <c r="K33" i="6"/>
  <c r="S31" i="6"/>
  <c r="I33" i="6"/>
  <c r="G42" i="6"/>
  <c r="D31" i="6"/>
  <c r="C25" i="6"/>
  <c r="J31" i="6"/>
  <c r="F47" i="6"/>
  <c r="Y33" i="6"/>
  <c r="T42" i="6"/>
  <c r="F42" i="6"/>
  <c r="E18" i="6"/>
  <c r="Q31" i="6"/>
  <c r="Q25" i="6"/>
  <c r="M39" i="6"/>
  <c r="S25" i="6"/>
  <c r="U25" i="6"/>
  <c r="S33" i="6"/>
  <c r="J39" i="6"/>
  <c r="C33" i="6"/>
  <c r="O47" i="6"/>
  <c r="H47" i="6"/>
  <c r="L39" i="6"/>
  <c r="G33" i="6"/>
  <c r="K47" i="6"/>
  <c r="B33" i="6"/>
  <c r="N33" i="6"/>
  <c r="B41" i="6"/>
  <c r="Z31" i="6"/>
  <c r="H29" i="6"/>
  <c r="F29" i="6"/>
  <c r="M18" i="6"/>
  <c r="U42" i="6"/>
  <c r="B38" i="6"/>
  <c r="W31" i="6"/>
  <c r="K25" i="6"/>
  <c r="Z33" i="6"/>
  <c r="R42" i="6"/>
  <c r="X18" i="6"/>
  <c r="F33" i="6"/>
  <c r="W33" i="6"/>
  <c r="U33" i="6"/>
  <c r="Y31" i="6"/>
  <c r="U36" i="6"/>
  <c r="T39" i="6"/>
  <c r="N39" i="6"/>
  <c r="O36" i="6"/>
  <c r="Y42" i="6"/>
  <c r="F31" i="6"/>
  <c r="R25" i="6"/>
  <c r="H39" i="6"/>
  <c r="W38" i="6"/>
  <c r="I41" i="6"/>
  <c r="S41" i="6"/>
  <c r="K31" i="6"/>
  <c r="F38" i="6"/>
  <c r="R47" i="6"/>
  <c r="X29" i="6"/>
  <c r="Q41" i="6"/>
  <c r="D38" i="6"/>
  <c r="P28" i="6"/>
  <c r="Q47" i="6"/>
  <c r="K39" i="6"/>
  <c r="S39" i="6"/>
  <c r="U38" i="6"/>
  <c r="B18" i="6"/>
  <c r="E31" i="6"/>
  <c r="P36" i="6"/>
  <c r="L38" i="6"/>
  <c r="I18" i="6"/>
  <c r="B15" i="6"/>
  <c r="M28" i="6"/>
  <c r="V29" i="6"/>
  <c r="C41" i="6"/>
  <c r="T47" i="6"/>
  <c r="N18" i="6"/>
  <c r="Y28" i="6"/>
  <c r="O38" i="6"/>
  <c r="S28" i="6"/>
  <c r="M42" i="6"/>
  <c r="J42" i="6"/>
  <c r="O18" i="6"/>
  <c r="C36" i="6"/>
  <c r="N36" i="6"/>
  <c r="X38" i="6"/>
  <c r="V31" i="6"/>
  <c r="Y18" i="6"/>
  <c r="W13" i="6"/>
  <c r="L28" i="6"/>
  <c r="P29" i="6"/>
  <c r="T41" i="6"/>
  <c r="I42" i="6"/>
  <c r="U41" i="6"/>
  <c r="E38" i="6"/>
  <c r="M38" i="6"/>
  <c r="M47" i="6"/>
  <c r="D39" i="6"/>
  <c r="N25" i="6"/>
  <c r="W18" i="6"/>
  <c r="W36" i="6"/>
  <c r="O31" i="6"/>
  <c r="E39" i="6"/>
  <c r="W42" i="6"/>
  <c r="T31" i="6"/>
  <c r="L31" i="6"/>
  <c r="P31" i="6"/>
  <c r="U31" i="6"/>
  <c r="Z28" i="6"/>
  <c r="R28" i="6"/>
  <c r="B25" i="6"/>
  <c r="P41" i="6"/>
  <c r="I36" i="6"/>
  <c r="Q38" i="6"/>
  <c r="R39" i="6"/>
  <c r="J47" i="6"/>
  <c r="J25" i="6"/>
  <c r="V38" i="6"/>
  <c r="B28" i="6"/>
  <c r="C28" i="6"/>
  <c r="M25" i="6"/>
  <c r="O41" i="6"/>
  <c r="L18" i="6"/>
  <c r="H18" i="6"/>
  <c r="D47" i="6"/>
  <c r="N42" i="6"/>
  <c r="B39" i="6"/>
  <c r="E47" i="6"/>
  <c r="W39" i="6"/>
  <c r="Y38" i="6"/>
  <c r="S36" i="6"/>
  <c r="T18" i="6"/>
  <c r="D25" i="6"/>
  <c r="F41" i="6"/>
  <c r="V42" i="6"/>
  <c r="H25" i="6"/>
  <c r="Z18" i="6"/>
  <c r="W28" i="6"/>
  <c r="C35" i="6"/>
  <c r="T36" i="6"/>
  <c r="Q39" i="6"/>
  <c r="O42" i="6"/>
  <c r="P42" i="6"/>
  <c r="E28" i="6"/>
  <c r="C39" i="6"/>
  <c r="U18" i="6"/>
  <c r="Y41" i="6"/>
  <c r="G25" i="6"/>
  <c r="P25" i="6"/>
  <c r="W41" i="6"/>
  <c r="R18" i="6"/>
  <c r="G38" i="6"/>
  <c r="T38" i="6"/>
  <c r="I47" i="6"/>
  <c r="V25" i="6"/>
  <c r="H42" i="6"/>
  <c r="B42" i="6"/>
  <c r="H38" i="6"/>
  <c r="C42" i="6"/>
  <c r="I25" i="6"/>
  <c r="V41" i="6"/>
  <c r="Q28" i="6"/>
  <c r="R35" i="6"/>
  <c r="M35" i="6"/>
  <c r="S47" i="6"/>
  <c r="G47" i="6"/>
  <c r="L41" i="6"/>
  <c r="F36" i="6"/>
  <c r="N41" i="6"/>
  <c r="Z38" i="6"/>
  <c r="P47" i="6"/>
  <c r="O25" i="6"/>
  <c r="N38" i="6"/>
  <c r="J18" i="6"/>
  <c r="C18" i="6"/>
  <c r="Z42" i="6"/>
  <c r="D28" i="6"/>
  <c r="D18" i="6"/>
  <c r="C38" i="6"/>
  <c r="K36" i="6"/>
  <c r="S18" i="6"/>
  <c r="E42" i="6"/>
  <c r="B47" i="6"/>
  <c r="F25" i="6"/>
  <c r="R38" i="6"/>
  <c r="E41" i="6"/>
  <c r="X36" i="6"/>
  <c r="L42" i="6"/>
  <c r="R41" i="6"/>
  <c r="S38" i="6"/>
  <c r="U47" i="6"/>
  <c r="G41" i="6"/>
  <c r="K18" i="6"/>
  <c r="M36" i="6"/>
  <c r="J28" i="6"/>
  <c r="T35" i="6"/>
  <c r="G35" i="6"/>
  <c r="V28" i="6"/>
  <c r="B35" i="6"/>
  <c r="Z39" i="6"/>
  <c r="K17" i="6"/>
  <c r="X28" i="6"/>
  <c r="F28" i="6"/>
  <c r="X35" i="6"/>
  <c r="D35" i="6"/>
  <c r="C47" i="6"/>
  <c r="V17" i="6"/>
  <c r="B17" i="6"/>
  <c r="T15" i="6"/>
  <c r="O28" i="6"/>
  <c r="T28" i="6"/>
  <c r="J35" i="6"/>
  <c r="G29" i="6"/>
  <c r="I29" i="6"/>
  <c r="N29" i="6"/>
  <c r="Q36" i="6"/>
  <c r="E25" i="6"/>
  <c r="L47" i="6"/>
  <c r="F39" i="6"/>
  <c r="J41" i="6"/>
  <c r="C17" i="6"/>
  <c r="N28" i="6"/>
  <c r="Z13" i="6"/>
  <c r="F35" i="6"/>
  <c r="U29" i="6"/>
  <c r="Q29" i="6"/>
  <c r="G39" i="6"/>
  <c r="R36" i="6"/>
  <c r="O39" i="6"/>
  <c r="N47" i="6"/>
  <c r="AP5" i="4"/>
  <c r="AQ111" i="4" s="1"/>
  <c r="Z41" i="6"/>
  <c r="D17" i="6"/>
  <c r="K15" i="6"/>
  <c r="I28" i="6"/>
  <c r="G28" i="6"/>
  <c r="E35" i="6"/>
  <c r="L29" i="6"/>
  <c r="V47" i="6"/>
  <c r="H28" i="6"/>
  <c r="L35" i="6"/>
  <c r="G36" i="6"/>
  <c r="H41" i="6"/>
  <c r="X47" i="6"/>
  <c r="T25" i="6"/>
  <c r="K28" i="6"/>
  <c r="U28" i="6"/>
  <c r="Z30" i="6"/>
  <c r="W30" i="6"/>
  <c r="E30" i="6"/>
  <c r="M30" i="6"/>
  <c r="X30" i="6"/>
  <c r="S30" i="6"/>
  <c r="P30" i="6"/>
  <c r="C30" i="6"/>
  <c r="R30" i="6"/>
  <c r="L30" i="6"/>
  <c r="D30" i="6"/>
  <c r="H30" i="6"/>
  <c r="U30" i="6"/>
  <c r="J30" i="6"/>
  <c r="I30" i="6"/>
  <c r="O30" i="6"/>
  <c r="T30" i="6"/>
  <c r="Q30" i="6"/>
  <c r="K30" i="6"/>
  <c r="Y30" i="6"/>
  <c r="G30" i="6"/>
  <c r="V30" i="6"/>
  <c r="F30" i="6"/>
  <c r="B30" i="6"/>
  <c r="N30" i="6"/>
  <c r="U39" i="6"/>
  <c r="Q45" i="6"/>
  <c r="K41" i="6"/>
  <c r="W27" i="6"/>
  <c r="Z36" i="6"/>
  <c r="F17" i="6"/>
  <c r="P17" i="6"/>
  <c r="Y35" i="6"/>
  <c r="N35" i="6"/>
  <c r="D41" i="6"/>
  <c r="H45" i="6"/>
  <c r="Z47" i="6"/>
  <c r="G17" i="6"/>
  <c r="W35" i="6"/>
  <c r="I35" i="6"/>
  <c r="H27" i="6"/>
  <c r="N27" i="6"/>
  <c r="M27" i="6"/>
  <c r="H17" i="6"/>
  <c r="X17" i="6"/>
  <c r="O17" i="6"/>
  <c r="E17" i="6"/>
  <c r="N17" i="6"/>
  <c r="K35" i="6"/>
  <c r="V35" i="6"/>
  <c r="B36" i="6"/>
  <c r="P38" i="6"/>
  <c r="G45" i="6"/>
  <c r="Y47" i="6"/>
  <c r="H36" i="6"/>
  <c r="T27" i="6"/>
  <c r="T17" i="6"/>
  <c r="I17" i="6"/>
  <c r="U35" i="6"/>
  <c r="Z35" i="6"/>
  <c r="H35" i="6"/>
  <c r="S35" i="6"/>
  <c r="O35" i="6"/>
  <c r="K38" i="6"/>
  <c r="Z62" i="6"/>
  <c r="S17" i="6"/>
  <c r="Z17" i="6"/>
  <c r="Q35" i="6"/>
  <c r="I49" i="6"/>
  <c r="L55" i="6"/>
  <c r="R55" i="6"/>
  <c r="N48" i="6"/>
  <c r="U56" i="6"/>
  <c r="W40" i="6"/>
  <c r="Y62" i="6"/>
  <c r="Y59" i="6"/>
  <c r="H57" i="6"/>
  <c r="P53" i="6"/>
  <c r="V62" i="6"/>
  <c r="W54" i="6"/>
  <c r="D54" i="6"/>
  <c r="N59" i="6"/>
  <c r="T61" i="6"/>
  <c r="Z48" i="6"/>
  <c r="P61" i="6"/>
  <c r="F51" i="6"/>
  <c r="U57" i="6"/>
  <c r="W62" i="6"/>
  <c r="F59" i="6"/>
  <c r="N58" i="6"/>
  <c r="I59" i="6"/>
  <c r="U51" i="6"/>
  <c r="Q55" i="6"/>
  <c r="J52" i="6"/>
  <c r="J61" i="6"/>
  <c r="M59" i="6"/>
  <c r="Y55" i="6"/>
  <c r="S62" i="6"/>
  <c r="X59" i="6"/>
  <c r="S56" i="6"/>
  <c r="N62" i="6"/>
  <c r="O54" i="6"/>
  <c r="Z54" i="6"/>
  <c r="L63" i="8"/>
  <c r="H54" i="6"/>
  <c r="M56" i="6"/>
  <c r="P50" i="6"/>
  <c r="F40" i="6"/>
  <c r="E57" i="6"/>
  <c r="Y58" i="6"/>
  <c r="C55" i="6"/>
  <c r="H63" i="6"/>
  <c r="V58" i="6"/>
  <c r="P59" i="6"/>
  <c r="G52" i="6"/>
  <c r="J62" i="6"/>
  <c r="Q62" i="6"/>
  <c r="T56" i="6"/>
  <c r="P58" i="6"/>
  <c r="T55" i="6"/>
  <c r="V60" i="6"/>
  <c r="Q63" i="6"/>
  <c r="E40" i="6"/>
  <c r="P55" i="6"/>
  <c r="Z57" i="6"/>
  <c r="G53" i="6"/>
  <c r="S48" i="6"/>
  <c r="P40" i="6"/>
  <c r="R59" i="6"/>
  <c r="M60" i="6"/>
  <c r="B48" i="6"/>
  <c r="M52" i="6"/>
  <c r="K55" i="6"/>
  <c r="I55" i="6"/>
  <c r="K56" i="6"/>
  <c r="J58" i="6"/>
  <c r="J54" i="6"/>
  <c r="L59" i="6"/>
  <c r="I50" i="6"/>
  <c r="L62" i="6"/>
  <c r="I40" i="6"/>
  <c r="T40" i="6"/>
  <c r="P52" i="6"/>
  <c r="X54" i="6"/>
  <c r="X63" i="6"/>
  <c r="J55" i="6"/>
  <c r="M63" i="8"/>
  <c r="V52" i="6"/>
  <c r="G62" i="6"/>
  <c r="O55" i="6"/>
  <c r="Q60" i="6"/>
  <c r="O53" i="6"/>
  <c r="V49" i="6"/>
  <c r="E54" i="6"/>
  <c r="C62" i="6"/>
  <c r="R54" i="6"/>
  <c r="D60" i="6"/>
  <c r="T59" i="6"/>
  <c r="F58" i="6"/>
  <c r="D62" i="6"/>
  <c r="E51" i="6"/>
  <c r="H58" i="6"/>
  <c r="R62" i="6"/>
  <c r="C53" i="6"/>
  <c r="N63" i="8"/>
  <c r="U54" i="6"/>
  <c r="P63" i="6"/>
  <c r="N61" i="6"/>
  <c r="S61" i="6"/>
  <c r="W60" i="6"/>
  <c r="W50" i="6"/>
  <c r="M61" i="6"/>
  <c r="F52" i="6"/>
  <c r="G40" i="6"/>
  <c r="D48" i="6"/>
  <c r="U48" i="6"/>
  <c r="I60" i="6"/>
  <c r="Q50" i="6"/>
  <c r="S53" i="6"/>
  <c r="N60" i="6"/>
  <c r="U40" i="6"/>
  <c r="K58" i="6"/>
  <c r="X49" i="6"/>
  <c r="E52" i="6"/>
  <c r="B55" i="6"/>
  <c r="Y52" i="6"/>
  <c r="U60" i="6"/>
  <c r="H53" i="6"/>
  <c r="O49" i="6"/>
  <c r="R51" i="6"/>
  <c r="L54" i="6"/>
  <c r="E55" i="6"/>
  <c r="F57" i="6"/>
  <c r="X52" i="6"/>
  <c r="F53" i="6"/>
  <c r="O50" i="6"/>
  <c r="Z53" i="6"/>
  <c r="D59" i="6"/>
  <c r="Q53" i="6"/>
  <c r="C52" i="6"/>
  <c r="S57" i="6"/>
  <c r="Z49" i="6"/>
  <c r="J63" i="6"/>
  <c r="Z58" i="6"/>
  <c r="L63" i="6"/>
  <c r="S51" i="6"/>
  <c r="D49" i="6"/>
  <c r="M53" i="6"/>
  <c r="N55" i="6"/>
  <c r="F63" i="6"/>
  <c r="P62" i="6"/>
  <c r="M51" i="6"/>
  <c r="J56" i="6"/>
  <c r="V48" i="6"/>
  <c r="N63" i="6"/>
  <c r="K63" i="6"/>
  <c r="S49" i="6"/>
  <c r="P48" i="6"/>
  <c r="D55" i="6"/>
  <c r="B59" i="6"/>
  <c r="C58" i="6"/>
  <c r="Q48" i="6"/>
  <c r="Y54" i="6"/>
  <c r="D40" i="6"/>
  <c r="M54" i="6"/>
  <c r="Y48" i="6"/>
  <c r="X60" i="6"/>
  <c r="Y60" i="6"/>
  <c r="J51" i="6"/>
  <c r="O63" i="6"/>
  <c r="E53" i="6"/>
  <c r="S55" i="6"/>
  <c r="G56" i="6"/>
  <c r="B49" i="6"/>
  <c r="W55" i="6"/>
  <c r="B63" i="6"/>
  <c r="M40" i="6"/>
  <c r="I61" i="6"/>
  <c r="O61" i="6"/>
  <c r="L52" i="6"/>
  <c r="C61" i="6"/>
  <c r="K53" i="6"/>
  <c r="Y50" i="6"/>
  <c r="C40" i="6"/>
  <c r="M55" i="6"/>
  <c r="Y40" i="6"/>
  <c r="S60" i="6"/>
  <c r="F60" i="6"/>
  <c r="D61" i="6"/>
  <c r="M57" i="6"/>
  <c r="H49" i="6"/>
  <c r="U63" i="6"/>
  <c r="V55" i="6"/>
  <c r="W48" i="6"/>
  <c r="U52" i="6"/>
  <c r="M63" i="6"/>
  <c r="G61" i="6"/>
  <c r="F49" i="6"/>
  <c r="K63" i="8"/>
  <c r="R57" i="6"/>
  <c r="S54" i="6"/>
  <c r="T54" i="6"/>
  <c r="H61" i="6"/>
  <c r="L49" i="6"/>
  <c r="F62" i="6"/>
  <c r="K54" i="6"/>
  <c r="C57" i="6"/>
  <c r="K61" i="6"/>
  <c r="V57" i="6"/>
  <c r="U55" i="6"/>
  <c r="E62" i="6"/>
  <c r="Q40" i="6"/>
  <c r="H60" i="6"/>
  <c r="E60" i="6"/>
  <c r="L58" i="6"/>
  <c r="E48" i="6"/>
  <c r="Q61" i="6"/>
  <c r="I58" i="6"/>
  <c r="Q59" i="6"/>
  <c r="Z51" i="6"/>
  <c r="Z63" i="6"/>
  <c r="S58" i="6"/>
  <c r="U61" i="6"/>
  <c r="K50" i="6"/>
  <c r="N54" i="6"/>
  <c r="E61" i="6"/>
  <c r="K51" i="6"/>
  <c r="Y57" i="6"/>
  <c r="D51" i="6"/>
  <c r="N49" i="6"/>
  <c r="S50" i="6"/>
  <c r="R48" i="6"/>
  <c r="I56" i="6"/>
  <c r="N51" i="6"/>
  <c r="N53" i="6"/>
  <c r="G48" i="6"/>
  <c r="D58" i="6"/>
  <c r="K57" i="6"/>
  <c r="S40" i="6"/>
  <c r="P63" i="8"/>
  <c r="X40" i="6"/>
  <c r="L48" i="6"/>
  <c r="P51" i="6"/>
  <c r="N56" i="6"/>
  <c r="V59" i="6"/>
  <c r="R63" i="6"/>
  <c r="G57" i="6"/>
  <c r="Y63" i="6"/>
  <c r="L61" i="6"/>
  <c r="P57" i="6"/>
  <c r="J48" i="6"/>
  <c r="W56" i="6"/>
  <c r="I52" i="6"/>
  <c r="Z40" i="6"/>
  <c r="X56" i="6"/>
  <c r="D56" i="6"/>
  <c r="E58" i="6"/>
  <c r="W51" i="6"/>
  <c r="G63" i="6"/>
  <c r="X50" i="6"/>
  <c r="B52" i="6"/>
  <c r="F48" i="6"/>
  <c r="N50" i="6"/>
  <c r="B56" i="6"/>
  <c r="H48" i="6"/>
  <c r="G63" i="8"/>
  <c r="K49" i="6"/>
  <c r="V40" i="6"/>
  <c r="U62" i="6"/>
  <c r="L57" i="6"/>
  <c r="I62" i="6"/>
  <c r="F55" i="6"/>
  <c r="X48" i="6"/>
  <c r="M48" i="6"/>
  <c r="W63" i="6"/>
  <c r="I63" i="8"/>
  <c r="D52" i="6"/>
  <c r="J53" i="6"/>
  <c r="O48" i="6"/>
  <c r="S63" i="6"/>
  <c r="N57" i="6"/>
  <c r="S52" i="6"/>
  <c r="R56" i="6"/>
  <c r="O59" i="6"/>
  <c r="C50" i="6"/>
  <c r="C51" i="6"/>
  <c r="W61" i="6"/>
  <c r="H59" i="6"/>
  <c r="I48" i="6"/>
  <c r="B57" i="6"/>
  <c r="Z60" i="6"/>
  <c r="Z59" i="6"/>
  <c r="Z50" i="6"/>
  <c r="H55" i="6"/>
  <c r="J63" i="8"/>
  <c r="T52" i="6"/>
  <c r="K52" i="6"/>
  <c r="C63" i="6"/>
  <c r="Y49" i="6"/>
  <c r="X61" i="6"/>
  <c r="U58" i="6"/>
  <c r="E59" i="6"/>
  <c r="G55" i="6"/>
  <c r="J50" i="6"/>
  <c r="O40" i="6"/>
  <c r="R61" i="6"/>
  <c r="X58" i="6"/>
  <c r="G60" i="6"/>
  <c r="X55" i="6"/>
  <c r="U53" i="6"/>
  <c r="G49" i="6"/>
  <c r="D57" i="6"/>
  <c r="U50" i="6"/>
  <c r="L51" i="6"/>
  <c r="O52" i="6"/>
  <c r="Q56" i="6"/>
  <c r="T58" i="6"/>
  <c r="H56" i="6"/>
  <c r="R40" i="6"/>
  <c r="J59" i="6"/>
  <c r="L40" i="6"/>
  <c r="E56" i="6"/>
  <c r="I53" i="6"/>
  <c r="Q57" i="6"/>
  <c r="O62" i="6"/>
  <c r="V61" i="6"/>
  <c r="B53" i="6"/>
  <c r="J60" i="6"/>
  <c r="P54" i="6"/>
  <c r="R49" i="6"/>
  <c r="L60" i="6"/>
  <c r="D53" i="6"/>
  <c r="V63" i="6"/>
  <c r="Y61" i="6"/>
  <c r="Q54" i="6"/>
  <c r="X53" i="6"/>
  <c r="C54" i="6"/>
  <c r="T62" i="6"/>
  <c r="B51" i="6"/>
  <c r="L53" i="6"/>
  <c r="T51" i="6"/>
  <c r="X51" i="6"/>
  <c r="H40" i="6"/>
  <c r="D63" i="6"/>
  <c r="H62" i="6"/>
  <c r="V51" i="6"/>
  <c r="X57" i="6"/>
  <c r="B54" i="6"/>
  <c r="W59" i="6"/>
  <c r="T53" i="6"/>
  <c r="C56" i="6"/>
  <c r="B61" i="6"/>
  <c r="W52" i="6"/>
  <c r="E49" i="6"/>
  <c r="K59" i="6"/>
  <c r="Z55" i="6"/>
  <c r="W49" i="6"/>
  <c r="I51" i="6"/>
  <c r="F56" i="6"/>
  <c r="B62" i="6"/>
  <c r="Q49" i="6"/>
  <c r="G54" i="6"/>
  <c r="H52" i="6"/>
  <c r="T50" i="6"/>
  <c r="O60" i="6"/>
  <c r="V50" i="6"/>
  <c r="K40" i="6"/>
  <c r="K60" i="6"/>
  <c r="P60" i="6"/>
  <c r="E50" i="6"/>
  <c r="C60" i="6"/>
  <c r="B50" i="6"/>
  <c r="C48" i="6"/>
  <c r="G59" i="6"/>
  <c r="N52" i="6"/>
  <c r="Z56" i="6"/>
  <c r="B58" i="6"/>
  <c r="H51" i="6"/>
  <c r="O51" i="6"/>
  <c r="R58" i="6"/>
  <c r="N40" i="6"/>
  <c r="G51" i="6"/>
  <c r="M50" i="6"/>
  <c r="K62" i="6"/>
  <c r="X62" i="6"/>
  <c r="V54" i="6"/>
  <c r="L56" i="6"/>
  <c r="L50" i="6"/>
  <c r="M62" i="6"/>
  <c r="F61" i="6"/>
  <c r="C49" i="6"/>
  <c r="R60" i="6"/>
  <c r="W57" i="6"/>
  <c r="R53" i="6"/>
  <c r="T49" i="6"/>
  <c r="Q58" i="6"/>
  <c r="B40" i="6"/>
  <c r="J40" i="6"/>
  <c r="Y56" i="6"/>
  <c r="F54" i="6"/>
  <c r="T60" i="6"/>
  <c r="Y53" i="6"/>
  <c r="T57" i="6"/>
  <c r="B60" i="6"/>
  <c r="C59" i="6"/>
  <c r="W58" i="6"/>
  <c r="Z61" i="6"/>
  <c r="M58" i="6"/>
  <c r="T48" i="6"/>
  <c r="V56" i="6"/>
  <c r="R50" i="6"/>
  <c r="E63" i="6"/>
  <c r="U59" i="6"/>
  <c r="I54" i="6"/>
  <c r="O58" i="6"/>
  <c r="H50" i="6"/>
  <c r="I63" i="6"/>
  <c r="V53" i="6"/>
  <c r="G50" i="6"/>
  <c r="R52" i="6"/>
  <c r="O57" i="6"/>
  <c r="G58" i="6"/>
  <c r="U49" i="6"/>
  <c r="J49" i="6"/>
  <c r="F50" i="6"/>
  <c r="S59" i="6"/>
  <c r="O56" i="6"/>
  <c r="T63" i="6"/>
  <c r="Z52" i="6"/>
  <c r="Q52" i="6"/>
  <c r="J57" i="6"/>
  <c r="D50" i="6"/>
  <c r="M49" i="6"/>
  <c r="K48" i="6"/>
  <c r="Y51" i="6"/>
  <c r="W53" i="6"/>
  <c r="P49" i="6"/>
  <c r="P56" i="6"/>
  <c r="H63" i="8"/>
  <c r="I57" i="6"/>
  <c r="Q51" i="6"/>
  <c r="AQ7" i="4"/>
  <c r="AQ11" i="4"/>
  <c r="AQ15" i="4"/>
  <c r="AQ31" i="4"/>
  <c r="AQ43" i="4"/>
  <c r="AQ51" i="4"/>
  <c r="AQ59" i="4"/>
  <c r="AQ75" i="4"/>
  <c r="AQ79" i="4"/>
  <c r="AQ112" i="4"/>
  <c r="AQ50" i="4"/>
  <c r="AQ66" i="4"/>
  <c r="AQ102" i="4"/>
  <c r="AQ12" i="4"/>
  <c r="AQ16" i="4"/>
  <c r="AQ32" i="4"/>
  <c r="AQ40" i="4"/>
  <c r="AQ44" i="4"/>
  <c r="AQ60" i="4"/>
  <c r="AQ68" i="4"/>
  <c r="AQ76" i="4"/>
  <c r="AQ96" i="4"/>
  <c r="AQ74" i="4"/>
  <c r="AQ78" i="4"/>
  <c r="AQ86" i="4"/>
  <c r="AQ9" i="4"/>
  <c r="AQ13" i="4"/>
  <c r="AQ21" i="4"/>
  <c r="AQ29" i="4"/>
  <c r="AQ33" i="4"/>
  <c r="AQ53" i="4"/>
  <c r="AQ61" i="4"/>
  <c r="AQ93" i="4"/>
  <c r="AQ101" i="4"/>
  <c r="AQ10" i="4"/>
  <c r="AQ14" i="4"/>
  <c r="AQ30" i="4"/>
  <c r="AQ38" i="4"/>
  <c r="AQ54" i="4"/>
  <c r="AQ58" i="4"/>
  <c r="AQ104" i="4" l="1"/>
  <c r="AQ113" i="4"/>
  <c r="AQ106" i="4"/>
  <c r="AQ114" i="4"/>
  <c r="AQ10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<sst xmlns="http://schemas.openxmlformats.org/spreadsheetml/2006/main" count="1042" uniqueCount="215">
  <si>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</si>
  <si>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</si>
  <si>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</si>
  <si>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</si>
  <si>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</si>
  <si>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</si>
  <si>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</si>
  <si>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</si>
  <si>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</si>
  <si>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</si>
  <si>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</si>
  <si>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</si>
  <si>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</si>
  <si>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</si>
  <si>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</si>
  <si>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</si>
  <si>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</si>
  <si>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</si>
  <si>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</si>
  <si>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</si>
  <si>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</si>
  <si>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</si>
  <si>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</si>
  <si>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</si>
  <si>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</si>
  <si>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</si>
  <si>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</si>
  <si>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</si>
  <si>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</si>
  <si>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</si>
  <si>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</si>
  <si>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</si>
  <si>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</si>
  <si>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</si>
  <si>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</si>
  <si>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</si>
  <si>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</si>
  <si>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</si>
  <si>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</si>
  <si>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</si>
  <si>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</si>
  <si>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</si>
  <si>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</si>
  <si>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</si>
  <si>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</si>
  <si>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</si>
  <si>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</si>
  <si>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</si>
  <si>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</si>
  <si>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</si>
  <si>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</si>
  <si>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</si>
  <si>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</si>
  <si>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</si>
  <si>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</si>
  <si>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</si>
  <si>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</si>
  <si>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</si>
  <si>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</si>
  <si>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</si>
  <si>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</si>
  <si>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</si>
  <si>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</si>
  <si>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</si>
  <si>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</si>
  <si>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</si>
  <si>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</si>
  <si>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</si>
  <si>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</si>
  <si>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</si>
  <si>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</si>
  <si>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</si>
  <si>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</si>
  <si>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</si>
  <si>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</si>
  <si>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</si>
  <si>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</si>
  <si>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</si>
  <si>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</si>
  <si>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</si>
  <si>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</si>
  <si>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</si>
  <si>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</si>
  <si>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</si>
  <si>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</si>
  <si>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</si>
  <si>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</si>
  <si>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</si>
  <si>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</si>
  <si>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</si>
  <si>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</si>
  <si>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</si>
  <si>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</si>
  <si>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</si>
  <si>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</si>
  <si>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</si>
  <si>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</si>
  <si>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</si>
  <si>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</si>
  <si>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</si>
  <si>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</si>
  <si>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</si>
  <si>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</si>
  <si>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</si>
  <si>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</si>
  <si>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</si>
  <si>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</si>
  <si>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</si>
  <si>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</si>
  <si>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</si>
  <si>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</si>
  <si>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</si>
  <si>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</si>
  <si>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</si>
  <si>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</si>
  <si>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</si>
  <si>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</si>
  <si>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</si>
  <si>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</si>
  <si>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</si>
  <si>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</si>
  <si>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</si>
  <si>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</si>
  <si>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</si>
  <si>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</si>
  <si>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</si>
  <si>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</si>
  <si>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Handicap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</si>
  <si>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</si>
  <si>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</si>
  <si>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</si>
  <si>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</si>
  <si>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</si>
  <si>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</si>
  <si>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</si>
  <si>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</si>
  <si>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Total</t>
  </si>
  <si>
    <t>Pos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</si>
  <si>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</si>
  <si>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</si>
  <si>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</si>
  <si>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</si>
  <si>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</si>
  <si>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</si>
  <si>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</si>
  <si>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</si>
  <si>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</si>
  <si>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</si>
  <si>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</si>
  <si>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</si>
  <si>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Rd 1</t>
  </si>
  <si>
    <t>Rd 2</t>
  </si>
  <si>
    <t>Rd 3</t>
  </si>
  <si>
    <t>Rd 4</t>
  </si>
  <si>
    <t>Rd 5</t>
  </si>
  <si>
    <t>Rd 6</t>
  </si>
  <si>
    <t>Rd 7</t>
  </si>
  <si>
    <t>Rd 8</t>
  </si>
  <si>
    <t>TRexs</t>
  </si>
  <si>
    <t>Raptors</t>
  </si>
  <si>
    <t>Warriors</t>
  </si>
  <si>
    <t>Points Total</t>
  </si>
  <si>
    <t>League</t>
  </si>
  <si>
    <t>Best</t>
  </si>
  <si>
    <t>Live Grade</t>
  </si>
  <si>
    <t>Helper</t>
  </si>
  <si>
    <t>Rounds Shot</t>
  </si>
  <si>
    <t>Average %</t>
  </si>
  <si>
    <t>Best %</t>
  </si>
  <si>
    <t>Gary Wells</t>
  </si>
  <si>
    <t>POS</t>
  </si>
  <si>
    <t>Sort</t>
  </si>
  <si>
    <t>Chris Slaney</t>
  </si>
  <si>
    <t xml:space="preserve">Team Positions 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</si>
  <si>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</si>
  <si>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</si>
  <si>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</si>
  <si>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</si>
  <si>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</si>
  <si>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</si>
  <si>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</si>
  <si>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</si>
  <si>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</si>
  <si>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</si>
  <si>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</si>
  <si>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</si>
  <si>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</si>
  <si>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</si>
  <si>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</si>
  <si>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</si>
  <si>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</si>
  <si>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</si>
  <si>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Additional Score</t>
  </si>
  <si>
    <t>Teams Tab</t>
  </si>
  <si>
    <t>Currently The 4 highest scores need to be selected and added up.</t>
  </si>
  <si>
    <t>The places are still calculated automtically.</t>
  </si>
  <si>
    <t>AA POS</t>
  </si>
  <si>
    <t>A POS</t>
  </si>
  <si>
    <t>B POS</t>
  </si>
  <si>
    <t>C POS</t>
  </si>
  <si>
    <t>U/G POS</t>
  </si>
  <si>
    <t>O POS</t>
  </si>
  <si>
    <t>Rd 1 C'brooke</t>
  </si>
  <si>
    <t>Rd 2 Frobury</t>
  </si>
  <si>
    <t>Rd 3 Buccs</t>
  </si>
  <si>
    <t>Rd 4
Newbury</t>
  </si>
  <si>
    <t>Clive Turner</t>
  </si>
  <si>
    <t xml:space="preserve">  </t>
  </si>
  <si>
    <t>VISITOR</t>
  </si>
  <si>
    <t>Rd 5
Meon</t>
  </si>
  <si>
    <t>Drop 1</t>
  </si>
  <si>
    <t>Drop 2</t>
  </si>
  <si>
    <t>Sorted</t>
  </si>
  <si>
    <t>Rd 6
WW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</si>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</sst>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7" borderId="4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8" borderId="4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0" borderId="0" xfId="0" applyFont="1"/>
    <xf numFmtId="0" fontId="0" fillId="16" borderId="4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10" fontId="0" fillId="18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0" fontId="0" fillId="0" borderId="17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12" borderId="0" xfId="0" applyFont="1" applyFill="1" applyAlignment="1">
      <alignment horizontal="left"/>
    </xf>
    <xf numFmtId="1" fontId="12" fillId="12" borderId="0" xfId="0" applyNumberFormat="1" applyFont="1" applyFill="1" applyAlignment="1">
      <alignment horizontal="left"/>
    </xf>
    <xf numFmtId="10" fontId="12" fillId="12" borderId="0" xfId="0" applyNumberFormat="1" applyFont="1" applyFill="1" applyAlignment="1">
      <alignment horizontal="center" wrapText="1"/>
    </xf>
    <xf numFmtId="0" fontId="12" fillId="12" borderId="0" xfId="0" applyFont="1" applyFill="1" applyAlignment="1">
      <alignment horizontal="center" wrapText="1"/>
    </xf>
    <xf numFmtId="1" fontId="12" fillId="12" borderId="0" xfId="0" applyNumberFormat="1" applyFont="1" applyFill="1" applyAlignment="1">
      <alignment horizontal="center" wrapText="1"/>
    </xf>
    <xf numFmtId="0" fontId="0" fillId="9" borderId="25" xfId="0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9" borderId="25" xfId="0" applyFill="1" applyBorder="1"/>
    <xf numFmtId="0" fontId="7" fillId="5" borderId="4" xfId="0" applyFont="1" applyFill="1" applyBorder="1" applyAlignment="1">
      <alignment horizontal="left" vertical="center"/>
    </xf>
    <xf numFmtId="10" fontId="5" fillId="19" borderId="4" xfId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22" borderId="7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13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/>
    </xf>
    <xf numFmtId="0" fontId="0" fillId="0" borderId="26" xfId="0" applyBorder="1"/>
    <xf numFmtId="0" fontId="5" fillId="11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0" fontId="3" fillId="26" borderId="0" xfId="0" applyFont="1" applyFill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6" xfId="1" applyNumberFormat="1" applyFont="1" applyBorder="1"/>
    <xf numFmtId="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3" fillId="1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16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6D6EEF-A7F1-46E6-A0C2-C978779FF7AD}"/>
            </a:ext>
          </a:extLst>
        </xdr:cNvPr>
        <xdr:cNvSpPr txBox="1"/>
      </xdr:nvSpPr>
      <xdr:spPr>
        <a:xfrm>
          <a:off x="3327398" y="12699"/>
          <a:ext cx="7559677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894A7BC4-C9AB-4C86-A91C-1B3B95B0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26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565523" y="12699"/>
          <a:ext cx="343535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L101"/>
  <sheetViews>
    <sheetView topLeftCell="A31" zoomScaleNormal="100" workbookViewId="0">
      <selection activeCell="K53" sqref="K53:L54"/>
    </sheetView>
  </sheetViews>
  <sheetFormatPr defaultColWidth="0" defaultRowHeight="18" customHeight="1" x14ac:dyDescent="0.3"/>
  <cols>
    <col min="1" max="1" width="24.109375" style="117" customWidth="1"/>
    <col min="2" max="7" width="10.5546875" style="117" customWidth="1"/>
    <col min="8" max="9" width="10.5546875" style="117" hidden="1" customWidth="1"/>
    <col min="10" max="12" width="10.5546875" style="117" customWidth="1"/>
    <col min="13" max="16384" width="32.44140625" style="117" hidden="1"/>
  </cols>
  <sheetData>
    <row r="1" spans="1:9" ht="18" customHeight="1" thickBot="1" x14ac:dyDescent="0.35">
      <c r="A1" s="116" t="s">
        <v>0</v>
      </c>
      <c r="B1" s="32" t="s">
        <v>150</v>
      </c>
      <c r="C1" s="33" t="s">
        <v>151</v>
      </c>
      <c r="D1" s="33" t="s">
        <v>152</v>
      </c>
      <c r="E1" s="33" t="s">
        <v>153</v>
      </c>
      <c r="F1" s="33" t="s">
        <v>154</v>
      </c>
      <c r="G1" s="33" t="s">
        <v>155</v>
      </c>
      <c r="H1" s="33" t="s">
        <v>156</v>
      </c>
      <c r="I1" s="34" t="s">
        <v>157</v>
      </c>
    </row>
    <row r="2" spans="1:9" ht="18" customHeight="1" x14ac:dyDescent="0.3">
      <c r="A2" s="19" t="s">
        <v>45</v>
      </c>
      <c r="B2" s="118">
        <v>27</v>
      </c>
      <c r="C2" s="122">
        <v>17</v>
      </c>
      <c r="D2" s="122">
        <v>23</v>
      </c>
      <c r="E2" s="122">
        <v>19</v>
      </c>
      <c r="F2" s="122">
        <v>18</v>
      </c>
      <c r="G2" s="122">
        <v>23</v>
      </c>
      <c r="H2" s="122"/>
      <c r="I2" s="122"/>
    </row>
    <row r="3" spans="1:9" ht="18" customHeight="1" x14ac:dyDescent="0.3">
      <c r="A3" s="19" t="s">
        <v>68</v>
      </c>
      <c r="B3" s="118">
        <v>27</v>
      </c>
      <c r="C3" s="123">
        <v>26</v>
      </c>
      <c r="D3" s="123">
        <v>27</v>
      </c>
      <c r="E3" s="123">
        <v>23</v>
      </c>
      <c r="F3" s="123">
        <v>21</v>
      </c>
      <c r="G3" s="123">
        <v>28</v>
      </c>
      <c r="H3" s="123"/>
      <c r="I3" s="123"/>
    </row>
    <row r="4" spans="1:9" ht="18" customHeight="1" x14ac:dyDescent="0.3">
      <c r="A4" s="19" t="s">
        <v>47</v>
      </c>
      <c r="B4" s="118">
        <v>28</v>
      </c>
      <c r="C4" s="123">
        <v>26</v>
      </c>
      <c r="D4" s="123"/>
      <c r="E4" s="123">
        <v>23</v>
      </c>
      <c r="F4" s="123"/>
      <c r="G4" s="123">
        <v>31</v>
      </c>
      <c r="H4" s="123"/>
      <c r="I4" s="123"/>
    </row>
    <row r="5" spans="1:9" ht="18" customHeight="1" x14ac:dyDescent="0.3">
      <c r="A5" s="19" t="s">
        <v>27</v>
      </c>
      <c r="B5" s="118">
        <v>37</v>
      </c>
      <c r="C5" s="123">
        <v>31</v>
      </c>
      <c r="D5" s="123">
        <v>33</v>
      </c>
      <c r="E5" s="123">
        <v>32</v>
      </c>
      <c r="F5" s="123">
        <v>33</v>
      </c>
      <c r="G5" s="123">
        <v>35</v>
      </c>
      <c r="H5" s="123"/>
      <c r="I5" s="123"/>
    </row>
    <row r="6" spans="1:9" ht="18" customHeight="1" x14ac:dyDescent="0.3">
      <c r="A6" s="19" t="s">
        <v>28</v>
      </c>
      <c r="B6" s="118">
        <v>32</v>
      </c>
      <c r="C6" s="123"/>
      <c r="D6" s="123"/>
      <c r="E6" s="123"/>
      <c r="F6" s="123">
        <v>33</v>
      </c>
      <c r="G6" s="123">
        <v>34</v>
      </c>
      <c r="H6" s="123"/>
      <c r="I6" s="123"/>
    </row>
    <row r="7" spans="1:9" ht="18" customHeight="1" x14ac:dyDescent="0.3">
      <c r="A7" s="17" t="s">
        <v>174</v>
      </c>
      <c r="B7" s="118">
        <v>28</v>
      </c>
      <c r="C7" s="123">
        <v>18</v>
      </c>
      <c r="D7" s="123">
        <v>27</v>
      </c>
      <c r="E7" s="123">
        <v>29</v>
      </c>
      <c r="F7" s="123">
        <v>31</v>
      </c>
      <c r="G7" s="123">
        <v>27</v>
      </c>
      <c r="H7" s="123"/>
      <c r="I7" s="123"/>
    </row>
    <row r="8" spans="1:9" ht="18" customHeight="1" x14ac:dyDescent="0.3">
      <c r="A8" s="19" t="s">
        <v>13</v>
      </c>
      <c r="B8" s="118">
        <v>29</v>
      </c>
      <c r="C8" s="123">
        <v>24</v>
      </c>
      <c r="D8" s="123">
        <v>30</v>
      </c>
      <c r="E8" s="123">
        <v>29</v>
      </c>
      <c r="F8" s="123">
        <v>30</v>
      </c>
      <c r="G8" s="123">
        <v>30</v>
      </c>
      <c r="H8" s="123"/>
      <c r="I8" s="123"/>
    </row>
    <row r="9" spans="1:9" ht="18" customHeight="1" x14ac:dyDescent="0.3">
      <c r="A9" s="19" t="s">
        <v>16</v>
      </c>
      <c r="B9" s="118">
        <v>34</v>
      </c>
      <c r="C9" s="123">
        <v>29</v>
      </c>
      <c r="D9" s="123">
        <v>34</v>
      </c>
      <c r="E9" s="123">
        <v>32</v>
      </c>
      <c r="F9" s="123">
        <v>37</v>
      </c>
      <c r="G9" s="123">
        <v>34</v>
      </c>
      <c r="H9" s="123"/>
      <c r="I9" s="123"/>
    </row>
    <row r="10" spans="1:9" ht="18" customHeight="1" x14ac:dyDescent="0.3">
      <c r="A10" s="19" t="s">
        <v>109</v>
      </c>
      <c r="B10" s="118">
        <v>28</v>
      </c>
      <c r="C10" s="123">
        <v>18</v>
      </c>
      <c r="D10" s="123">
        <v>30</v>
      </c>
      <c r="E10" s="123"/>
      <c r="F10" s="123">
        <v>28</v>
      </c>
      <c r="G10" s="123">
        <v>28</v>
      </c>
      <c r="H10" s="123"/>
      <c r="I10" s="123"/>
    </row>
    <row r="11" spans="1:9" ht="18" customHeight="1" x14ac:dyDescent="0.3">
      <c r="A11" s="19" t="s">
        <v>49</v>
      </c>
      <c r="B11" s="118">
        <v>23</v>
      </c>
      <c r="C11" s="123"/>
      <c r="D11" s="123"/>
      <c r="E11" s="123"/>
      <c r="F11" s="123"/>
      <c r="G11" s="123"/>
      <c r="H11" s="123"/>
      <c r="I11" s="123"/>
    </row>
    <row r="12" spans="1:9" ht="18" customHeight="1" x14ac:dyDescent="0.3">
      <c r="A12" s="19" t="s">
        <v>111</v>
      </c>
      <c r="B12" s="118">
        <v>23</v>
      </c>
      <c r="C12" s="123"/>
      <c r="D12" s="123">
        <v>25</v>
      </c>
      <c r="E12" s="123">
        <v>27</v>
      </c>
      <c r="F12" s="123">
        <v>27</v>
      </c>
      <c r="G12" s="123">
        <v>24</v>
      </c>
      <c r="H12" s="123"/>
      <c r="I12" s="123"/>
    </row>
    <row r="13" spans="1:9" ht="18" customHeight="1" x14ac:dyDescent="0.3">
      <c r="A13" s="19" t="s">
        <v>60</v>
      </c>
      <c r="B13" s="118">
        <v>32</v>
      </c>
      <c r="C13" s="123">
        <v>20</v>
      </c>
      <c r="D13" s="123">
        <v>28</v>
      </c>
      <c r="E13" s="123"/>
      <c r="F13" s="123">
        <v>22</v>
      </c>
      <c r="G13" s="123">
        <v>27</v>
      </c>
      <c r="H13" s="123"/>
      <c r="I13" s="123"/>
    </row>
    <row r="14" spans="1:9" ht="18" customHeight="1" x14ac:dyDescent="0.3">
      <c r="A14" s="19" t="s">
        <v>32</v>
      </c>
      <c r="B14" s="118">
        <v>34</v>
      </c>
      <c r="C14" s="123">
        <v>27</v>
      </c>
      <c r="D14" s="123">
        <v>37</v>
      </c>
      <c r="E14" s="123">
        <v>29</v>
      </c>
      <c r="F14" s="123">
        <v>32</v>
      </c>
      <c r="G14" s="123">
        <v>36</v>
      </c>
      <c r="H14" s="123"/>
      <c r="I14" s="123"/>
    </row>
    <row r="15" spans="1:9" ht="18" customHeight="1" x14ac:dyDescent="0.3">
      <c r="A15" s="19" t="s">
        <v>51</v>
      </c>
      <c r="B15" s="118">
        <v>18</v>
      </c>
      <c r="C15" s="123">
        <v>20</v>
      </c>
      <c r="D15" s="123">
        <v>25</v>
      </c>
      <c r="E15" s="123"/>
      <c r="F15" s="123"/>
      <c r="G15" s="123"/>
      <c r="H15" s="123"/>
      <c r="I15" s="123"/>
    </row>
    <row r="16" spans="1:9" ht="18" customHeight="1" x14ac:dyDescent="0.3">
      <c r="A16" s="19" t="s">
        <v>106</v>
      </c>
      <c r="B16" s="118">
        <v>36</v>
      </c>
      <c r="C16" s="123"/>
      <c r="D16" s="123"/>
      <c r="E16" s="123"/>
      <c r="F16" s="123"/>
      <c r="G16" s="123"/>
      <c r="H16" s="123"/>
      <c r="I16" s="123"/>
    </row>
    <row r="17" spans="1:9" ht="18" customHeight="1" x14ac:dyDescent="0.3">
      <c r="A17" s="19" t="s">
        <v>112</v>
      </c>
      <c r="B17" s="118">
        <v>25</v>
      </c>
      <c r="C17" s="123"/>
      <c r="D17" s="123">
        <v>23</v>
      </c>
      <c r="E17" s="123">
        <v>20</v>
      </c>
      <c r="F17" s="123">
        <v>27</v>
      </c>
      <c r="G17" s="123">
        <v>20</v>
      </c>
      <c r="H17" s="123"/>
      <c r="I17" s="123"/>
    </row>
    <row r="18" spans="1:9" ht="18" customHeight="1" x14ac:dyDescent="0.3">
      <c r="A18" s="19" t="s">
        <v>61</v>
      </c>
      <c r="B18" s="118">
        <v>18</v>
      </c>
      <c r="C18" s="123"/>
      <c r="D18" s="123"/>
      <c r="E18" s="123"/>
      <c r="F18" s="123"/>
      <c r="G18" s="123"/>
      <c r="H18" s="123"/>
      <c r="I18" s="123"/>
    </row>
    <row r="19" spans="1:9" ht="18" customHeight="1" x14ac:dyDescent="0.3">
      <c r="A19" s="19" t="s">
        <v>34</v>
      </c>
      <c r="B19" s="118">
        <v>36</v>
      </c>
      <c r="C19" s="123">
        <v>29</v>
      </c>
      <c r="D19" s="123"/>
      <c r="E19" s="123">
        <v>36</v>
      </c>
      <c r="F19" s="123">
        <v>38</v>
      </c>
      <c r="G19" s="123">
        <v>37</v>
      </c>
      <c r="H19" s="123"/>
      <c r="I19" s="123"/>
    </row>
    <row r="20" spans="1:9" ht="18" customHeight="1" x14ac:dyDescent="0.3">
      <c r="A20" s="19" t="s">
        <v>35</v>
      </c>
      <c r="B20" s="118">
        <v>29</v>
      </c>
      <c r="C20" s="123">
        <v>29</v>
      </c>
      <c r="D20" s="123">
        <v>33</v>
      </c>
      <c r="E20" s="123">
        <v>34</v>
      </c>
      <c r="F20" s="123">
        <v>31</v>
      </c>
      <c r="G20" s="123">
        <v>35</v>
      </c>
      <c r="H20" s="123"/>
      <c r="I20" s="123"/>
    </row>
    <row r="21" spans="1:9" ht="18" customHeight="1" x14ac:dyDescent="0.3">
      <c r="A21" s="19" t="s">
        <v>63</v>
      </c>
      <c r="B21" s="118">
        <v>24</v>
      </c>
      <c r="C21" s="123">
        <v>18</v>
      </c>
      <c r="D21" s="123"/>
      <c r="E21" s="123">
        <v>19</v>
      </c>
      <c r="F21" s="123">
        <v>26</v>
      </c>
      <c r="G21" s="123">
        <v>24</v>
      </c>
      <c r="H21" s="123"/>
      <c r="I21" s="123"/>
    </row>
    <row r="22" spans="1:9" ht="18" customHeight="1" x14ac:dyDescent="0.3">
      <c r="A22" s="19" t="s">
        <v>19</v>
      </c>
      <c r="B22" s="118">
        <v>26</v>
      </c>
      <c r="C22" s="123">
        <v>26</v>
      </c>
      <c r="D22" s="123">
        <v>27</v>
      </c>
      <c r="E22" s="123">
        <v>23</v>
      </c>
      <c r="F22" s="123">
        <v>29</v>
      </c>
      <c r="G22" s="123">
        <v>25</v>
      </c>
      <c r="H22" s="123"/>
      <c r="I22" s="123"/>
    </row>
    <row r="23" spans="1:9" ht="18" customHeight="1" x14ac:dyDescent="0.3">
      <c r="A23" s="19" t="s">
        <v>56</v>
      </c>
      <c r="B23" s="118">
        <v>30</v>
      </c>
      <c r="C23" s="123">
        <v>22</v>
      </c>
      <c r="D23" s="123">
        <v>29</v>
      </c>
      <c r="E23" s="123">
        <v>26</v>
      </c>
      <c r="F23" s="123">
        <v>22</v>
      </c>
      <c r="G23" s="123">
        <v>20</v>
      </c>
      <c r="H23" s="123"/>
      <c r="I23" s="123"/>
    </row>
    <row r="24" spans="1:9" ht="18" customHeight="1" x14ac:dyDescent="0.3">
      <c r="A24" s="19" t="s">
        <v>65</v>
      </c>
      <c r="B24" s="118">
        <v>23</v>
      </c>
      <c r="C24" s="123">
        <v>17</v>
      </c>
      <c r="D24" s="123">
        <v>23</v>
      </c>
      <c r="E24" s="123">
        <v>23</v>
      </c>
      <c r="F24" s="123">
        <v>27</v>
      </c>
      <c r="G24" s="123">
        <v>25</v>
      </c>
      <c r="H24" s="123"/>
      <c r="I24" s="123"/>
    </row>
    <row r="25" spans="1:9" ht="18" customHeight="1" x14ac:dyDescent="0.3">
      <c r="A25" s="19" t="s">
        <v>20</v>
      </c>
      <c r="B25" s="118">
        <v>28</v>
      </c>
      <c r="C25" s="123"/>
      <c r="D25" s="123">
        <v>31</v>
      </c>
      <c r="E25" s="123"/>
      <c r="F25" s="123"/>
      <c r="G25" s="123"/>
      <c r="H25" s="123"/>
      <c r="I25" s="123"/>
    </row>
    <row r="26" spans="1:9" ht="18" customHeight="1" x14ac:dyDescent="0.3">
      <c r="A26" s="19" t="s">
        <v>66</v>
      </c>
      <c r="B26" s="118">
        <v>14</v>
      </c>
      <c r="C26" s="123">
        <v>12</v>
      </c>
      <c r="D26" s="123">
        <v>20</v>
      </c>
      <c r="E26" s="123"/>
      <c r="F26" s="123"/>
      <c r="G26" s="123"/>
      <c r="H26" s="123"/>
      <c r="I26" s="123"/>
    </row>
    <row r="27" spans="1:9" ht="18" customHeight="1" x14ac:dyDescent="0.3">
      <c r="A27" s="19" t="s">
        <v>36</v>
      </c>
      <c r="B27" s="118">
        <v>32</v>
      </c>
      <c r="C27" s="123">
        <v>27</v>
      </c>
      <c r="D27" s="123"/>
      <c r="E27" s="123"/>
      <c r="F27" s="123">
        <v>32</v>
      </c>
      <c r="G27" s="123">
        <v>35</v>
      </c>
      <c r="H27" s="123"/>
      <c r="I27" s="123"/>
    </row>
    <row r="28" spans="1:9" ht="18" customHeight="1" x14ac:dyDescent="0.3">
      <c r="A28" s="19" t="s">
        <v>67</v>
      </c>
      <c r="B28" s="118">
        <v>21</v>
      </c>
      <c r="C28" s="123">
        <v>20</v>
      </c>
      <c r="D28" s="123">
        <v>27</v>
      </c>
      <c r="E28" s="123">
        <v>22</v>
      </c>
      <c r="F28" s="123">
        <v>23</v>
      </c>
      <c r="G28" s="123">
        <v>23</v>
      </c>
      <c r="H28" s="123"/>
      <c r="I28" s="123"/>
    </row>
    <row r="29" spans="1:9" ht="18" customHeight="1" x14ac:dyDescent="0.3">
      <c r="A29" s="19" t="s">
        <v>37</v>
      </c>
      <c r="B29" s="118">
        <v>36</v>
      </c>
      <c r="C29" s="123">
        <v>28</v>
      </c>
      <c r="D29" s="123">
        <v>33</v>
      </c>
      <c r="E29" s="123"/>
      <c r="F29" s="123">
        <v>34</v>
      </c>
      <c r="G29" s="123">
        <v>34</v>
      </c>
      <c r="H29" s="123"/>
      <c r="I29" s="123"/>
    </row>
    <row r="30" spans="1:9" ht="18" customHeight="1" x14ac:dyDescent="0.3">
      <c r="A30" s="19" t="s">
        <v>58</v>
      </c>
      <c r="B30" s="118">
        <v>29</v>
      </c>
      <c r="C30" s="123">
        <v>17</v>
      </c>
      <c r="D30" s="123">
        <v>28</v>
      </c>
      <c r="E30" s="123">
        <v>31</v>
      </c>
      <c r="F30" s="123">
        <v>31</v>
      </c>
      <c r="G30" s="123">
        <v>35</v>
      </c>
      <c r="H30" s="123"/>
      <c r="I30" s="123"/>
    </row>
    <row r="31" spans="1:9" ht="18" customHeight="1" x14ac:dyDescent="0.3">
      <c r="A31" s="19" t="s">
        <v>42</v>
      </c>
      <c r="B31" s="118">
        <v>36</v>
      </c>
      <c r="C31" s="123"/>
      <c r="D31" s="123">
        <v>36</v>
      </c>
      <c r="E31" s="123">
        <v>34</v>
      </c>
      <c r="F31" s="123">
        <v>34</v>
      </c>
      <c r="G31" s="123">
        <v>37</v>
      </c>
      <c r="H31" s="123"/>
      <c r="I31" s="123"/>
    </row>
    <row r="32" spans="1:9" ht="18" customHeight="1" x14ac:dyDescent="0.3">
      <c r="A32" s="19" t="s">
        <v>25</v>
      </c>
      <c r="B32" s="118"/>
      <c r="C32" s="123">
        <v>28</v>
      </c>
      <c r="D32" s="123">
        <v>34</v>
      </c>
      <c r="E32" s="123">
        <v>30</v>
      </c>
      <c r="F32" s="123">
        <v>35</v>
      </c>
      <c r="G32" s="123">
        <v>35</v>
      </c>
      <c r="H32" s="123"/>
      <c r="I32" s="123"/>
    </row>
    <row r="33" spans="1:9" ht="18" customHeight="1" x14ac:dyDescent="0.3">
      <c r="A33" s="99" t="s">
        <v>59</v>
      </c>
      <c r="B33" s="118"/>
      <c r="C33" s="123">
        <v>25</v>
      </c>
      <c r="D33" s="123">
        <v>29</v>
      </c>
      <c r="E33" s="123">
        <v>26</v>
      </c>
      <c r="F33" s="123">
        <v>34</v>
      </c>
      <c r="G33" s="123">
        <v>29</v>
      </c>
      <c r="H33" s="123"/>
      <c r="I33" s="123"/>
    </row>
    <row r="34" spans="1:9" ht="18" customHeight="1" x14ac:dyDescent="0.3">
      <c r="A34" s="19" t="s">
        <v>69</v>
      </c>
      <c r="B34" s="118"/>
      <c r="C34" s="123"/>
      <c r="D34" s="123"/>
      <c r="E34" s="123"/>
      <c r="F34" s="123"/>
      <c r="G34" s="123"/>
      <c r="H34" s="123"/>
      <c r="I34" s="123"/>
    </row>
    <row r="35" spans="1:9" ht="18" customHeight="1" x14ac:dyDescent="0.3">
      <c r="A35" s="19" t="s">
        <v>175</v>
      </c>
      <c r="B35" s="118"/>
      <c r="C35" s="123"/>
      <c r="D35" s="123"/>
      <c r="E35" s="123"/>
      <c r="F35" s="123"/>
      <c r="G35" s="123"/>
      <c r="H35" s="123"/>
      <c r="I35" s="123"/>
    </row>
    <row r="36" spans="1:9" ht="18" customHeight="1" x14ac:dyDescent="0.3">
      <c r="A36" s="19" t="s">
        <v>23</v>
      </c>
      <c r="B36" s="118"/>
      <c r="C36" s="123">
        <v>17</v>
      </c>
      <c r="D36" s="123">
        <v>31</v>
      </c>
      <c r="E36" s="123">
        <v>27</v>
      </c>
      <c r="F36" s="123"/>
      <c r="G36" s="123">
        <v>32</v>
      </c>
      <c r="H36" s="123"/>
      <c r="I36" s="123"/>
    </row>
    <row r="37" spans="1:9" ht="18" customHeight="1" x14ac:dyDescent="0.3">
      <c r="A37" s="19" t="s">
        <v>43</v>
      </c>
      <c r="B37" s="118"/>
      <c r="C37" s="123"/>
      <c r="D37" s="123"/>
      <c r="E37" s="123"/>
      <c r="F37" s="123"/>
      <c r="G37" s="123"/>
      <c r="H37" s="123"/>
      <c r="I37" s="123"/>
    </row>
    <row r="38" spans="1:9" ht="18" customHeight="1" x14ac:dyDescent="0.3">
      <c r="A38" s="19" t="s">
        <v>8</v>
      </c>
      <c r="B38" s="118"/>
      <c r="C38" s="123"/>
      <c r="D38" s="123"/>
      <c r="E38" s="123"/>
      <c r="F38" s="123"/>
      <c r="G38" s="123"/>
      <c r="H38" s="123"/>
      <c r="I38" s="123"/>
    </row>
    <row r="39" spans="1:9" ht="18" customHeight="1" x14ac:dyDescent="0.3">
      <c r="A39" s="19" t="s">
        <v>55</v>
      </c>
      <c r="B39" s="118"/>
      <c r="C39" s="123">
        <v>22</v>
      </c>
      <c r="D39" s="123">
        <v>25</v>
      </c>
      <c r="E39" s="123">
        <v>27</v>
      </c>
      <c r="F39" s="123">
        <v>28</v>
      </c>
      <c r="G39" s="123"/>
      <c r="H39" s="123"/>
      <c r="I39" s="123"/>
    </row>
    <row r="40" spans="1:9" ht="18" customHeight="1" x14ac:dyDescent="0.3">
      <c r="A40" s="19" t="s">
        <v>64</v>
      </c>
      <c r="B40" s="118"/>
      <c r="C40" s="123"/>
      <c r="D40" s="123">
        <v>21</v>
      </c>
      <c r="E40" s="123"/>
      <c r="F40" s="123"/>
      <c r="G40" s="123">
        <v>28</v>
      </c>
      <c r="H40" s="123"/>
      <c r="I40" s="123"/>
    </row>
    <row r="41" spans="1:9" ht="18" customHeight="1" x14ac:dyDescent="0.3">
      <c r="A41" s="19" t="s">
        <v>62</v>
      </c>
      <c r="B41" s="118"/>
      <c r="C41" s="123"/>
      <c r="D41" s="123">
        <v>26</v>
      </c>
      <c r="E41" s="123">
        <v>18</v>
      </c>
      <c r="F41" s="123">
        <v>20</v>
      </c>
      <c r="G41" s="123"/>
      <c r="H41" s="123"/>
      <c r="I41" s="123"/>
    </row>
    <row r="42" spans="1:9" ht="18" customHeight="1" x14ac:dyDescent="0.3">
      <c r="A42" s="19" t="s">
        <v>172</v>
      </c>
      <c r="B42" s="118"/>
      <c r="C42" s="123"/>
      <c r="D42" s="123"/>
      <c r="E42" s="123"/>
      <c r="F42" s="123"/>
      <c r="G42" s="123"/>
      <c r="H42" s="123"/>
      <c r="I42" s="123"/>
    </row>
    <row r="43" spans="1:9" ht="18" customHeight="1" x14ac:dyDescent="0.3">
      <c r="A43" s="19" t="s">
        <v>114</v>
      </c>
      <c r="B43" s="118"/>
      <c r="C43" s="123">
        <v>27</v>
      </c>
      <c r="D43" s="123"/>
      <c r="E43" s="123"/>
      <c r="F43" s="123"/>
      <c r="G43" s="123">
        <v>32</v>
      </c>
      <c r="H43" s="123"/>
      <c r="I43" s="123"/>
    </row>
    <row r="44" spans="1:9" ht="18" customHeight="1" x14ac:dyDescent="0.3">
      <c r="A44" s="19" t="s">
        <v>53</v>
      </c>
      <c r="B44" s="118"/>
      <c r="C44" s="123"/>
      <c r="D44" s="123">
        <v>21</v>
      </c>
      <c r="E44" s="123"/>
      <c r="F44" s="123"/>
      <c r="G44" s="123"/>
      <c r="H44" s="123"/>
      <c r="I44" s="123"/>
    </row>
    <row r="45" spans="1:9" ht="18" customHeight="1" x14ac:dyDescent="0.3">
      <c r="A45" s="19" t="s">
        <v>50</v>
      </c>
      <c r="B45" s="118"/>
      <c r="C45" s="123">
        <v>25</v>
      </c>
      <c r="D45" s="123">
        <v>22</v>
      </c>
      <c r="E45" s="123">
        <v>28</v>
      </c>
      <c r="F45" s="123">
        <v>27</v>
      </c>
      <c r="G45" s="123">
        <v>29</v>
      </c>
      <c r="H45" s="123"/>
      <c r="I45" s="123"/>
    </row>
    <row r="46" spans="1:9" ht="18" customHeight="1" x14ac:dyDescent="0.3">
      <c r="A46" s="19" t="s">
        <v>76</v>
      </c>
      <c r="B46" s="118"/>
      <c r="C46" s="123"/>
      <c r="D46" s="123">
        <v>34</v>
      </c>
      <c r="E46" s="123"/>
      <c r="F46" s="123"/>
      <c r="G46" s="123"/>
      <c r="H46" s="123"/>
      <c r="I46" s="123"/>
    </row>
    <row r="47" spans="1:9" ht="18" customHeight="1" x14ac:dyDescent="0.3">
      <c r="A47" s="19" t="s">
        <v>77</v>
      </c>
      <c r="B47" s="118"/>
      <c r="C47" s="123"/>
      <c r="D47" s="123">
        <v>29</v>
      </c>
      <c r="E47" s="123"/>
      <c r="F47" s="123"/>
      <c r="G47" s="123"/>
      <c r="H47" s="123"/>
      <c r="I47" s="123"/>
    </row>
    <row r="48" spans="1:9" ht="18" customHeight="1" x14ac:dyDescent="0.3">
      <c r="A48" s="19" t="s">
        <v>57</v>
      </c>
      <c r="B48" s="118"/>
      <c r="C48" s="119"/>
      <c r="D48" s="119">
        <v>27</v>
      </c>
      <c r="E48" s="119"/>
      <c r="F48" s="119"/>
      <c r="G48" s="119"/>
      <c r="H48" s="119"/>
      <c r="I48" s="119"/>
    </row>
    <row r="49" spans="1:9" ht="18" customHeight="1" x14ac:dyDescent="0.3">
      <c r="A49" s="17" t="s">
        <v>99</v>
      </c>
      <c r="B49" s="118"/>
      <c r="C49" s="119"/>
      <c r="D49" s="119"/>
      <c r="E49" s="119">
        <v>15</v>
      </c>
      <c r="F49" s="119"/>
      <c r="G49" s="119"/>
      <c r="H49" s="119"/>
      <c r="I49" s="119"/>
    </row>
    <row r="50" spans="1:9" ht="18" customHeight="1" x14ac:dyDescent="0.3">
      <c r="A50" s="19" t="s">
        <v>206</v>
      </c>
      <c r="B50" s="118"/>
      <c r="C50" s="119"/>
      <c r="D50" s="119"/>
      <c r="E50" s="119">
        <v>33</v>
      </c>
      <c r="F50" s="119">
        <v>34</v>
      </c>
      <c r="G50" s="119">
        <v>35</v>
      </c>
      <c r="H50" s="119"/>
      <c r="I50" s="119"/>
    </row>
    <row r="51" spans="1:9" ht="18" customHeight="1" x14ac:dyDescent="0.3">
      <c r="A51" s="22" t="s">
        <v>81</v>
      </c>
      <c r="B51" s="118"/>
      <c r="C51" s="119"/>
      <c r="D51" s="119"/>
      <c r="E51" s="119">
        <v>29</v>
      </c>
      <c r="F51" s="119">
        <v>32</v>
      </c>
      <c r="G51" s="119">
        <v>36</v>
      </c>
      <c r="H51" s="119"/>
      <c r="I51" s="119"/>
    </row>
    <row r="52" spans="1:9" ht="18" customHeight="1" x14ac:dyDescent="0.3">
      <c r="A52" s="17" t="s">
        <v>123</v>
      </c>
      <c r="B52" s="118"/>
      <c r="C52" s="119"/>
      <c r="D52" s="119"/>
      <c r="E52" s="119">
        <v>21</v>
      </c>
      <c r="F52" s="119">
        <v>22</v>
      </c>
      <c r="G52" s="119"/>
      <c r="H52" s="119"/>
      <c r="I52" s="119"/>
    </row>
    <row r="53" spans="1:9" ht="18" customHeight="1" x14ac:dyDescent="0.3">
      <c r="A53" s="17" t="s">
        <v>48</v>
      </c>
      <c r="B53" s="118"/>
      <c r="C53" s="119"/>
      <c r="D53" s="119"/>
      <c r="E53" s="119"/>
      <c r="F53" s="119"/>
      <c r="G53" s="119">
        <v>30</v>
      </c>
      <c r="H53" s="119"/>
      <c r="I53" s="119"/>
    </row>
    <row r="54" spans="1:9" ht="18" customHeight="1" x14ac:dyDescent="0.3">
      <c r="A54" s="19" t="s">
        <v>87</v>
      </c>
      <c r="B54" s="118"/>
      <c r="C54" s="119"/>
      <c r="D54" s="119"/>
      <c r="E54" s="119"/>
      <c r="F54" s="119"/>
      <c r="G54" s="119">
        <v>28</v>
      </c>
      <c r="H54" s="119"/>
      <c r="I54" s="119"/>
    </row>
    <row r="55" spans="1:9" ht="18" customHeight="1" x14ac:dyDescent="0.3">
      <c r="A55" s="17" t="s">
        <v>95</v>
      </c>
      <c r="B55" s="118"/>
      <c r="C55" s="119"/>
      <c r="D55" s="119"/>
      <c r="E55" s="119"/>
      <c r="F55" s="119"/>
      <c r="G55" s="119">
        <v>23</v>
      </c>
      <c r="H55" s="119"/>
      <c r="I55" s="119"/>
    </row>
    <row r="56" spans="1:9" ht="18" customHeight="1" x14ac:dyDescent="0.3">
      <c r="A56" s="17"/>
      <c r="B56" s="118"/>
      <c r="C56" s="119"/>
      <c r="D56" s="119"/>
      <c r="E56" s="119"/>
      <c r="F56" s="119"/>
      <c r="G56" s="119"/>
      <c r="H56" s="119"/>
      <c r="I56" s="119"/>
    </row>
    <row r="57" spans="1:9" ht="18" customHeight="1" x14ac:dyDescent="0.3">
      <c r="A57" s="17"/>
      <c r="B57" s="118"/>
      <c r="C57" s="119"/>
      <c r="D57" s="119"/>
      <c r="E57" s="119"/>
      <c r="F57" s="119"/>
      <c r="G57" s="119"/>
      <c r="H57" s="119"/>
      <c r="I57" s="119"/>
    </row>
    <row r="58" spans="1:9" ht="18" customHeight="1" x14ac:dyDescent="0.3">
      <c r="A58" s="19"/>
      <c r="B58" s="118"/>
      <c r="C58" s="119"/>
      <c r="D58" s="119"/>
      <c r="E58" s="119"/>
      <c r="F58" s="119"/>
      <c r="G58" s="119"/>
      <c r="H58" s="119"/>
      <c r="I58" s="119"/>
    </row>
    <row r="59" spans="1:9" ht="18" customHeight="1" x14ac:dyDescent="0.3">
      <c r="A59" s="22"/>
      <c r="B59" s="118"/>
      <c r="C59" s="119"/>
      <c r="D59" s="119"/>
      <c r="E59" s="119"/>
      <c r="F59" s="119"/>
      <c r="G59" s="119"/>
      <c r="H59" s="119"/>
      <c r="I59" s="119"/>
    </row>
    <row r="60" spans="1:9" ht="18" customHeight="1" x14ac:dyDescent="0.3">
      <c r="A60" s="19"/>
      <c r="B60" s="118"/>
      <c r="C60" s="119"/>
      <c r="D60" s="119"/>
      <c r="E60" s="119"/>
      <c r="F60" s="119"/>
      <c r="G60" s="119"/>
      <c r="H60" s="119"/>
      <c r="I60" s="119"/>
    </row>
    <row r="61" spans="1:9" ht="18" customHeight="1" x14ac:dyDescent="0.3">
      <c r="A61" s="19"/>
      <c r="B61" s="118"/>
      <c r="C61" s="119"/>
      <c r="D61" s="119"/>
      <c r="E61" s="119"/>
      <c r="F61" s="119"/>
      <c r="G61" s="119"/>
      <c r="H61" s="119"/>
      <c r="I61" s="119"/>
    </row>
    <row r="62" spans="1:9" ht="18" customHeight="1" x14ac:dyDescent="0.3">
      <c r="A62" s="19"/>
      <c r="B62" s="118"/>
      <c r="C62" s="119"/>
      <c r="D62" s="119"/>
      <c r="E62" s="119"/>
      <c r="F62" s="119"/>
      <c r="G62" s="119"/>
      <c r="H62" s="119"/>
      <c r="I62" s="119"/>
    </row>
    <row r="63" spans="1:9" ht="18" customHeight="1" x14ac:dyDescent="0.3">
      <c r="A63" s="17"/>
      <c r="B63" s="118"/>
      <c r="C63" s="119"/>
      <c r="D63" s="119"/>
      <c r="E63" s="119"/>
      <c r="F63" s="119"/>
      <c r="G63" s="119"/>
      <c r="H63" s="119"/>
      <c r="I63" s="119"/>
    </row>
    <row r="64" spans="1:9" ht="18" customHeight="1" x14ac:dyDescent="0.3">
      <c r="A64" s="17"/>
      <c r="B64" s="118"/>
      <c r="C64" s="119"/>
      <c r="D64" s="119"/>
      <c r="E64" s="119"/>
      <c r="F64" s="119"/>
      <c r="G64" s="119"/>
      <c r="H64" s="119"/>
      <c r="I64" s="119"/>
    </row>
    <row r="65" spans="1:9" ht="18" customHeight="1" x14ac:dyDescent="0.3">
      <c r="A65" s="19"/>
      <c r="B65" s="118"/>
      <c r="C65" s="119"/>
      <c r="D65" s="119"/>
      <c r="E65" s="119"/>
      <c r="F65" s="119"/>
      <c r="G65" s="119"/>
      <c r="H65" s="119"/>
      <c r="I65" s="119"/>
    </row>
    <row r="66" spans="1:9" ht="18" customHeight="1" x14ac:dyDescent="0.3">
      <c r="A66" s="22"/>
      <c r="B66" s="118"/>
      <c r="C66" s="119"/>
      <c r="D66" s="119"/>
      <c r="E66" s="119"/>
      <c r="F66" s="119"/>
      <c r="G66" s="119"/>
      <c r="H66" s="119"/>
      <c r="I66" s="119"/>
    </row>
    <row r="67" spans="1:9" ht="18" customHeight="1" x14ac:dyDescent="0.3">
      <c r="A67" s="17"/>
      <c r="B67" s="118"/>
      <c r="C67" s="119"/>
      <c r="D67" s="119"/>
      <c r="E67" s="119"/>
      <c r="F67" s="119"/>
      <c r="G67" s="119"/>
      <c r="H67" s="119"/>
      <c r="I67" s="119"/>
    </row>
    <row r="68" spans="1:9" ht="18" customHeight="1" x14ac:dyDescent="0.3">
      <c r="A68" s="17"/>
      <c r="B68" s="118"/>
      <c r="C68" s="119"/>
      <c r="D68" s="119"/>
      <c r="E68" s="119"/>
      <c r="F68" s="119"/>
      <c r="G68" s="119"/>
      <c r="H68" s="119"/>
      <c r="I68" s="119"/>
    </row>
    <row r="69" spans="1:9" ht="18" customHeight="1" x14ac:dyDescent="0.3">
      <c r="A69" s="19"/>
      <c r="B69" s="118"/>
      <c r="C69" s="119"/>
      <c r="D69" s="119"/>
      <c r="E69" s="119"/>
      <c r="F69" s="119"/>
      <c r="G69" s="119"/>
      <c r="H69" s="119"/>
      <c r="I69" s="119"/>
    </row>
    <row r="70" spans="1:9" ht="18" customHeight="1" x14ac:dyDescent="0.3">
      <c r="A70" s="19"/>
      <c r="B70" s="118"/>
      <c r="C70" s="119"/>
      <c r="D70" s="119"/>
      <c r="E70" s="119"/>
      <c r="F70" s="119"/>
      <c r="G70" s="119"/>
      <c r="H70" s="119"/>
      <c r="I70" s="119"/>
    </row>
    <row r="71" spans="1:9" ht="18" customHeight="1" x14ac:dyDescent="0.3">
      <c r="A71" s="17"/>
      <c r="B71" s="118"/>
      <c r="C71" s="119"/>
      <c r="D71" s="119"/>
      <c r="E71" s="119"/>
      <c r="F71" s="119"/>
      <c r="G71" s="119"/>
      <c r="H71" s="119"/>
      <c r="I71" s="119"/>
    </row>
    <row r="72" spans="1:9" ht="18" customHeight="1" x14ac:dyDescent="0.3">
      <c r="A72" s="17"/>
      <c r="B72" s="118"/>
      <c r="C72" s="119"/>
      <c r="D72" s="119"/>
      <c r="E72" s="119"/>
      <c r="F72" s="119"/>
      <c r="G72" s="119"/>
      <c r="H72" s="119"/>
      <c r="I72" s="119"/>
    </row>
    <row r="73" spans="1:9" ht="18" customHeight="1" x14ac:dyDescent="0.3">
      <c r="A73" s="19"/>
      <c r="B73" s="118"/>
      <c r="C73" s="119"/>
      <c r="D73" s="119"/>
      <c r="E73" s="119"/>
      <c r="F73" s="119"/>
      <c r="G73" s="119"/>
      <c r="H73" s="119"/>
      <c r="I73" s="119"/>
    </row>
    <row r="74" spans="1:9" ht="18" customHeight="1" x14ac:dyDescent="0.3">
      <c r="A74" s="19"/>
      <c r="B74" s="118"/>
      <c r="C74" s="119"/>
      <c r="D74" s="119"/>
      <c r="E74" s="119"/>
      <c r="F74" s="119"/>
      <c r="G74" s="119"/>
      <c r="H74" s="119"/>
      <c r="I74" s="119"/>
    </row>
    <row r="75" spans="1:9" ht="18" customHeight="1" x14ac:dyDescent="0.3">
      <c r="A75" s="19"/>
      <c r="B75" s="119"/>
      <c r="C75" s="119"/>
      <c r="D75" s="119"/>
      <c r="E75" s="119"/>
      <c r="F75" s="119"/>
      <c r="G75" s="119"/>
      <c r="H75" s="119"/>
      <c r="I75" s="119"/>
    </row>
    <row r="76" spans="1:9" ht="18" customHeight="1" x14ac:dyDescent="0.3">
      <c r="A76" s="19"/>
      <c r="B76" s="119"/>
      <c r="C76" s="119"/>
      <c r="D76" s="119"/>
      <c r="E76" s="119"/>
      <c r="F76" s="119"/>
      <c r="G76" s="119"/>
      <c r="H76" s="119"/>
      <c r="I76" s="119"/>
    </row>
    <row r="77" spans="1:9" ht="18" customHeight="1" x14ac:dyDescent="0.3">
      <c r="A77" s="22"/>
      <c r="B77" s="119"/>
      <c r="C77" s="119"/>
      <c r="D77" s="119"/>
      <c r="E77" s="119"/>
      <c r="F77" s="119"/>
      <c r="G77" s="119"/>
      <c r="H77" s="119"/>
      <c r="I77" s="119"/>
    </row>
    <row r="78" spans="1:9" ht="18" customHeight="1" x14ac:dyDescent="0.3">
      <c r="A78" s="19"/>
      <c r="B78" s="119"/>
      <c r="C78" s="119"/>
      <c r="D78" s="119"/>
      <c r="E78" s="119"/>
      <c r="F78" s="119"/>
      <c r="G78" s="119"/>
      <c r="H78" s="119"/>
      <c r="I78" s="119"/>
    </row>
    <row r="79" spans="1:9" ht="18" customHeight="1" x14ac:dyDescent="0.3">
      <c r="A79" s="19"/>
      <c r="B79" s="119"/>
      <c r="C79" s="119"/>
      <c r="D79" s="119"/>
      <c r="E79" s="119"/>
      <c r="F79" s="119"/>
      <c r="G79" s="119"/>
      <c r="H79" s="119"/>
      <c r="I79" s="119"/>
    </row>
    <row r="80" spans="1:9" ht="18" customHeight="1" x14ac:dyDescent="0.3">
      <c r="A80" s="19"/>
      <c r="B80" s="119"/>
      <c r="C80" s="119"/>
      <c r="D80" s="119"/>
      <c r="E80" s="119"/>
      <c r="F80" s="119"/>
      <c r="G80" s="119"/>
      <c r="H80" s="119"/>
      <c r="I80" s="119"/>
    </row>
    <row r="81" spans="1:9" ht="18" customHeight="1" x14ac:dyDescent="0.3">
      <c r="A81" s="19"/>
      <c r="B81" s="119"/>
      <c r="C81" s="119"/>
      <c r="D81" s="119"/>
      <c r="E81" s="119"/>
      <c r="F81" s="119"/>
      <c r="G81" s="119"/>
      <c r="H81" s="119"/>
      <c r="I81" s="119"/>
    </row>
    <row r="82" spans="1:9" ht="18" customHeight="1" x14ac:dyDescent="0.3">
      <c r="A82" s="19"/>
      <c r="B82" s="119"/>
      <c r="C82" s="119"/>
      <c r="D82" s="119"/>
      <c r="E82" s="119"/>
      <c r="F82" s="119"/>
      <c r="G82" s="119"/>
      <c r="H82" s="119"/>
      <c r="I82" s="119"/>
    </row>
    <row r="83" spans="1:9" ht="18" customHeight="1" x14ac:dyDescent="0.3">
      <c r="A83" s="19"/>
      <c r="B83" s="119"/>
      <c r="C83" s="119"/>
      <c r="D83" s="119"/>
      <c r="E83" s="119"/>
      <c r="F83" s="119"/>
      <c r="G83" s="119"/>
      <c r="H83" s="119"/>
      <c r="I83" s="119"/>
    </row>
    <row r="84" spans="1:9" ht="18" customHeight="1" x14ac:dyDescent="0.3">
      <c r="A84" s="19"/>
      <c r="B84" s="119"/>
      <c r="C84" s="119"/>
      <c r="D84" s="119"/>
      <c r="E84" s="119"/>
      <c r="F84" s="119"/>
      <c r="G84" s="119"/>
      <c r="H84" s="119"/>
      <c r="I84" s="119"/>
    </row>
    <row r="85" spans="1:9" ht="18" customHeight="1" x14ac:dyDescent="0.3">
      <c r="A85" s="19"/>
      <c r="B85" s="119"/>
      <c r="C85" s="119"/>
      <c r="D85" s="119"/>
      <c r="E85" s="119"/>
      <c r="F85" s="119"/>
      <c r="G85" s="119"/>
      <c r="H85" s="119"/>
      <c r="I85" s="119"/>
    </row>
    <row r="86" spans="1:9" ht="18" customHeight="1" x14ac:dyDescent="0.3">
      <c r="A86" s="19"/>
      <c r="B86" s="119"/>
      <c r="C86" s="119"/>
      <c r="D86" s="119"/>
      <c r="E86" s="119"/>
      <c r="F86" s="119"/>
      <c r="G86" s="119"/>
      <c r="H86" s="119"/>
      <c r="I86" s="119"/>
    </row>
    <row r="87" spans="1:9" ht="18" customHeight="1" x14ac:dyDescent="0.3">
      <c r="A87" s="19"/>
      <c r="B87" s="119"/>
      <c r="C87" s="119"/>
      <c r="D87" s="119"/>
      <c r="E87" s="119"/>
      <c r="F87" s="119"/>
      <c r="G87" s="119"/>
      <c r="H87" s="119"/>
      <c r="I87" s="119"/>
    </row>
    <row r="88" spans="1:9" ht="18" customHeight="1" x14ac:dyDescent="0.3">
      <c r="A88" s="19"/>
      <c r="B88" s="119"/>
      <c r="C88" s="119"/>
      <c r="D88" s="119"/>
      <c r="E88" s="119"/>
      <c r="F88" s="119"/>
      <c r="G88" s="119"/>
      <c r="H88" s="119"/>
      <c r="I88" s="119"/>
    </row>
    <row r="89" spans="1:9" ht="18" customHeight="1" x14ac:dyDescent="0.3">
      <c r="A89" s="19"/>
      <c r="B89" s="119"/>
      <c r="C89" s="119"/>
      <c r="D89" s="119"/>
      <c r="E89" s="119"/>
      <c r="F89" s="119"/>
      <c r="G89" s="119"/>
      <c r="H89" s="119"/>
      <c r="I89" s="119"/>
    </row>
    <row r="90" spans="1:9" ht="18" customHeight="1" x14ac:dyDescent="0.3">
      <c r="A90" s="19"/>
      <c r="B90" s="119"/>
      <c r="C90" s="119"/>
      <c r="D90" s="119"/>
      <c r="E90" s="119"/>
      <c r="F90" s="119"/>
      <c r="G90" s="119"/>
      <c r="H90" s="119"/>
      <c r="I90" s="119"/>
    </row>
    <row r="91" spans="1:9" ht="18" customHeight="1" x14ac:dyDescent="0.3">
      <c r="A91" s="19"/>
      <c r="B91" s="119"/>
      <c r="C91" s="119"/>
      <c r="D91" s="119"/>
      <c r="E91" s="119"/>
      <c r="F91" s="119"/>
      <c r="G91" s="119"/>
      <c r="H91" s="119"/>
      <c r="I91" s="119"/>
    </row>
    <row r="92" spans="1:9" ht="18" customHeight="1" x14ac:dyDescent="0.3">
      <c r="A92" s="19"/>
      <c r="B92" s="119"/>
      <c r="C92" s="119"/>
      <c r="D92" s="119"/>
      <c r="E92" s="119"/>
      <c r="F92" s="119"/>
      <c r="G92" s="119"/>
      <c r="H92" s="119"/>
      <c r="I92" s="119"/>
    </row>
    <row r="93" spans="1:9" ht="18" customHeight="1" x14ac:dyDescent="0.3">
      <c r="A93" s="19"/>
      <c r="B93" s="119"/>
      <c r="C93" s="119"/>
      <c r="D93" s="119"/>
      <c r="E93" s="119"/>
      <c r="F93" s="119"/>
      <c r="G93" s="119"/>
      <c r="H93" s="119"/>
      <c r="I93" s="119"/>
    </row>
    <row r="94" spans="1:9" ht="18" customHeight="1" x14ac:dyDescent="0.3">
      <c r="A94" s="19"/>
      <c r="B94" s="119"/>
      <c r="C94" s="119"/>
      <c r="D94" s="119"/>
      <c r="E94" s="119"/>
      <c r="F94" s="119"/>
      <c r="G94" s="119"/>
      <c r="H94" s="119"/>
      <c r="I94" s="119"/>
    </row>
    <row r="95" spans="1:9" ht="18" customHeight="1" x14ac:dyDescent="0.3">
      <c r="A95" s="19"/>
      <c r="B95" s="119"/>
      <c r="C95" s="119"/>
      <c r="D95" s="119"/>
      <c r="E95" s="119"/>
      <c r="F95" s="119"/>
      <c r="G95" s="119"/>
      <c r="H95" s="119"/>
      <c r="I95" s="119"/>
    </row>
    <row r="96" spans="1:9" ht="18" customHeight="1" x14ac:dyDescent="0.3">
      <c r="A96" s="19"/>
      <c r="B96" s="119"/>
      <c r="C96" s="119"/>
      <c r="D96" s="119"/>
      <c r="E96" s="119"/>
      <c r="F96" s="119"/>
      <c r="G96" s="119"/>
      <c r="H96" s="119"/>
      <c r="I96" s="119"/>
    </row>
    <row r="97" spans="1:9" ht="18" customHeight="1" x14ac:dyDescent="0.3">
      <c r="A97" s="19"/>
      <c r="B97" s="119"/>
      <c r="C97" s="119"/>
      <c r="D97" s="119"/>
      <c r="E97" s="119"/>
      <c r="F97" s="119"/>
      <c r="G97" s="119"/>
      <c r="H97" s="119"/>
      <c r="I97" s="119"/>
    </row>
    <row r="98" spans="1:9" ht="18" customHeight="1" x14ac:dyDescent="0.3">
      <c r="A98" s="19"/>
      <c r="B98" s="119"/>
      <c r="C98" s="119"/>
      <c r="D98" s="119"/>
      <c r="E98" s="119"/>
      <c r="F98" s="119"/>
      <c r="G98" s="119"/>
      <c r="H98" s="119"/>
      <c r="I98" s="119"/>
    </row>
    <row r="99" spans="1:9" ht="18" customHeight="1" x14ac:dyDescent="0.3">
      <c r="A99" s="19"/>
      <c r="B99" s="119"/>
      <c r="C99" s="119"/>
      <c r="D99" s="119"/>
      <c r="E99" s="119"/>
      <c r="F99" s="119"/>
      <c r="G99" s="119"/>
      <c r="H99" s="119"/>
      <c r="I99" s="119"/>
    </row>
    <row r="100" spans="1:9" ht="18" customHeight="1" x14ac:dyDescent="0.3">
      <c r="A100" s="19"/>
      <c r="B100" s="119"/>
      <c r="C100" s="119"/>
      <c r="D100" s="119"/>
      <c r="E100" s="119"/>
      <c r="F100" s="119"/>
      <c r="G100" s="119"/>
      <c r="H100" s="119"/>
      <c r="I100" s="119"/>
    </row>
    <row r="101" spans="1:9" ht="18" customHeight="1" x14ac:dyDescent="0.3">
      <c r="B101" s="117">
        <f>COUNT(B2:B87)</f>
        <v>30</v>
      </c>
      <c r="C101" s="117">
        <f>COUNT(C2:C87)</f>
        <v>28</v>
      </c>
    </row>
  </sheetData>
  <sortState xmlns:xlrd2="http://schemas.microsoft.com/office/spreadsheetml/2017/richdata2" ref="A2:B31">
    <sortCondition ref="A2:A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7C2-77DD-4A86-A045-9D6312CE2496}">
  <sheetPr>
    <pageSetUpPr fitToPage="1"/>
  </sheetPr>
  <dimension ref="A1:BD125"/>
  <sheetViews>
    <sheetView workbookViewId="0">
      <selection activeCell="O124" sqref="A1:O124"/>
    </sheetView>
  </sheetViews>
  <sheetFormatPr defaultColWidth="0" defaultRowHeight="14.4" outlineLevelCol="1" x14ac:dyDescent="0.3"/>
  <cols>
    <col min="1" max="1" width="1.6640625" customWidth="1"/>
    <col min="2" max="2" width="21.88671875" customWidth="1"/>
    <col min="3" max="3" width="9.109375" customWidth="1"/>
    <col min="4" max="4" width="18.5546875" customWidth="1"/>
    <col min="5" max="5" width="12.44140625" customWidth="1"/>
    <col min="6" max="11" width="9.109375" customWidth="1"/>
    <col min="12" max="13" width="9.109375" hidden="1" customWidth="1"/>
    <col min="14" max="14" width="9.109375" customWidth="1"/>
    <col min="15" max="15" width="2.88671875" customWidth="1"/>
    <col min="16" max="16" width="9.109375" customWidth="1"/>
    <col min="17" max="18" width="9.109375" hidden="1" customWidth="1"/>
    <col min="19" max="19" width="15.88671875" hidden="1" customWidth="1"/>
    <col min="20" max="28" width="9.88671875" hidden="1" customWidth="1"/>
    <col min="29" max="52" width="9.109375" hidden="1" customWidth="1"/>
    <col min="53" max="53" width="9.109375" customWidth="1"/>
    <col min="54" max="54" width="0" hidden="1" customWidth="1" outlineLevel="1"/>
    <col min="55" max="55" width="9.109375" hidden="1" customWidth="1" collapsed="1"/>
    <col min="56" max="16384" width="9.109375" hidden="1"/>
  </cols>
  <sheetData>
    <row r="1" spans="1:51" ht="21.75" customHeight="1" x14ac:dyDescent="0.35">
      <c r="C1" s="89" t="s">
        <v>173</v>
      </c>
    </row>
    <row r="2" spans="1:51" x14ac:dyDescent="0.3">
      <c r="C2" s="37" t="s">
        <v>137</v>
      </c>
      <c r="D2" s="38" t="s">
        <v>5</v>
      </c>
      <c r="E2" s="38" t="s">
        <v>161</v>
      </c>
      <c r="F2" s="37" t="s">
        <v>128</v>
      </c>
      <c r="G2" s="37" t="s">
        <v>129</v>
      </c>
      <c r="H2" s="37" t="s">
        <v>130</v>
      </c>
      <c r="I2" s="37" t="s">
        <v>131</v>
      </c>
      <c r="J2" s="37" t="s">
        <v>132</v>
      </c>
      <c r="K2" s="37" t="s">
        <v>133</v>
      </c>
      <c r="L2" s="37" t="s">
        <v>134</v>
      </c>
      <c r="M2" s="37" t="s">
        <v>135</v>
      </c>
      <c r="R2" t="s">
        <v>137</v>
      </c>
      <c r="S2" t="s">
        <v>5</v>
      </c>
      <c r="T2" t="s">
        <v>136</v>
      </c>
      <c r="AC2" s="24" t="s">
        <v>128</v>
      </c>
      <c r="AD2" s="24" t="s">
        <v>129</v>
      </c>
      <c r="AE2" s="24" t="s">
        <v>130</v>
      </c>
      <c r="AF2" s="24" t="s">
        <v>131</v>
      </c>
      <c r="AG2" s="24" t="s">
        <v>132</v>
      </c>
      <c r="AH2" s="24" t="s">
        <v>133</v>
      </c>
      <c r="AI2" s="24" t="s">
        <v>134</v>
      </c>
      <c r="AJ2" s="24" t="s">
        <v>135</v>
      </c>
    </row>
    <row r="3" spans="1:51" x14ac:dyDescent="0.3">
      <c r="C3" s="25">
        <v>1</v>
      </c>
      <c r="D3" s="26" t="str">
        <f t="shared" ref="D3:D12" si="0">IFERROR(VLOOKUP(C3,$R$3:$AC$11,2,FALSE),"")</f>
        <v>Warriors</v>
      </c>
      <c r="E3" s="25">
        <f t="shared" ref="E3:E12" si="1">IFERROR(VLOOKUP(C3,$R$3:$AC$11,3,FALSE),"")</f>
        <v>56</v>
      </c>
      <c r="F3" s="25">
        <f t="shared" ref="F3:F12" si="2">IFERROR(VLOOKUP(D3,$S$3:$AB$9,3,FALSE),"")</f>
        <v>9</v>
      </c>
      <c r="G3" s="25">
        <f t="shared" ref="G3:G12" si="3">IFERROR(VLOOKUP(D3,$S$3:$AB$9,4,FALSE),"")</f>
        <v>10</v>
      </c>
      <c r="H3" s="25">
        <f t="shared" ref="H3:H12" si="4">IFERROR(VLOOKUP(D3,$S$3:$AB$9,5,FALSE),"")</f>
        <v>10</v>
      </c>
      <c r="I3" s="25">
        <f t="shared" ref="I3:I12" si="5">IFERROR(VLOOKUP(D3,$S$3:$AB$9,6,FALSE),"")</f>
        <v>9</v>
      </c>
      <c r="J3" s="25">
        <f t="shared" ref="J3:J12" si="6">IFERROR(VLOOKUP(D3,$S$3:$AB$9,7,FALSE),"")</f>
        <v>9</v>
      </c>
      <c r="K3" s="25">
        <f t="shared" ref="K3:K12" si="7">IFERROR(VLOOKUP(D3,$S$3:$AB$9,8,FALSE),"")</f>
        <v>9</v>
      </c>
      <c r="L3" s="25" t="str">
        <f t="shared" ref="L3:L12" si="8">IFERROR(VLOOKUP(D3,$S$3:$AB$9,9,FALSE),"")</f>
        <v/>
      </c>
      <c r="M3" s="25" t="str">
        <f t="shared" ref="M3:M12" si="9">IFERROR(VLOOKUP(D3,$S$3:$AB$9,10,FALSE),"")</f>
        <v/>
      </c>
      <c r="R3" s="27">
        <f>IFERROR(IF(T3=0,"",(RANK(T3,$T$3:$T$11)+COUNTIF($T3:T$11,T3)-1)),"")</f>
        <v>3</v>
      </c>
      <c r="S3" s="27" t="str">
        <f>IF($E$23="","",$E$23)</f>
        <v>TRexs</v>
      </c>
      <c r="T3" s="27">
        <f>SUM(U3:AB3)</f>
        <v>47</v>
      </c>
      <c r="U3" s="27">
        <f>IFERROR(IF(AC3=0,"",11-RANK(AC3,$AC$3:$AC$11,0)),"")</f>
        <v>5</v>
      </c>
      <c r="V3" s="27">
        <f>IFERROR(IF(AD3=0,"",11-RANK(AD3,$AD$3:$AD$11,0)),"")</f>
        <v>9</v>
      </c>
      <c r="W3" s="27">
        <f>IFERROR(IF(AE3=0,"",11-RANK(AE3,$AE$3:$AE$11,0)),"")</f>
        <v>7</v>
      </c>
      <c r="X3" s="27">
        <f>IFERROR(IF(AF3=0,"",11-RANK(AF3,$AF$3:$AF$11,0)),"")</f>
        <v>8</v>
      </c>
      <c r="Y3" s="27">
        <f>IFERROR(IF(AG3=0,"",11-RANK(AG3,$AG$3:$AG$11,0)),"")</f>
        <v>10</v>
      </c>
      <c r="Z3" s="27">
        <f>IFERROR(IF(AH3=0,"",11-RANK(AH3,$AH$3:$AH$11,0)),"")</f>
        <v>8</v>
      </c>
      <c r="AA3" s="27" t="str" cm="1">
        <f t="array" ref="AA3">IFERROR(IF(AI=0,"",11-RANK(AI3,$AI$3:$AI$11,0)),"")</f>
        <v/>
      </c>
      <c r="AB3" s="27" t="str">
        <f>IFERROR(IF(AJ3=0,"",11-RANK(AJ3,$AJ$3:$AJ$11,0)),"")</f>
        <v/>
      </c>
      <c r="AC3" s="27">
        <f t="shared" ref="AC3:AC11" si="10">VLOOKUP(S3,$E$16:$N$122,2,FALSE)</f>
        <v>109</v>
      </c>
      <c r="AD3" s="27">
        <f t="shared" ref="AD3:AD11" si="11">VLOOKUP(S3,$E$16:$N$122,3,FALSE)</f>
        <v>107</v>
      </c>
      <c r="AE3" s="27">
        <f t="shared" ref="AE3:AE11" si="12">VLOOKUP(S3,$E$16:$N$122,4,FALSE)</f>
        <v>127</v>
      </c>
      <c r="AF3" s="27">
        <f t="shared" ref="AF3:AF11" si="13">VLOOKUP(S3,$E$16:$N$122,5,FALSE)</f>
        <v>117</v>
      </c>
      <c r="AG3" s="27">
        <f t="shared" ref="AG3:AG11" si="14">VLOOKUP(S3,$E$16:$N$122,6,FALSE)</f>
        <v>138</v>
      </c>
      <c r="AH3" s="27">
        <f t="shared" ref="AH3:AH11" si="15">VLOOKUP(S3,$E$16:$N$122,7,FALSE)</f>
        <v>132</v>
      </c>
      <c r="AI3" s="27">
        <f t="shared" ref="AI3:AI11" si="16">VLOOKUP(S3,$E$16:$N$122,8,FALSE)</f>
        <v>0</v>
      </c>
      <c r="AJ3" s="27">
        <f t="shared" ref="AJ3:AJ11" si="17">VLOOKUP(S3,$E$16:$N$122,9,FALSE)</f>
        <v>0</v>
      </c>
    </row>
    <row r="4" spans="1:51" x14ac:dyDescent="0.3">
      <c r="C4" s="25">
        <v>2</v>
      </c>
      <c r="D4" s="26" t="str">
        <f t="shared" si="0"/>
        <v>Frobury</v>
      </c>
      <c r="E4" s="25">
        <f t="shared" si="1"/>
        <v>52</v>
      </c>
      <c r="F4" s="25">
        <f t="shared" si="2"/>
        <v>8</v>
      </c>
      <c r="G4" s="25">
        <f t="shared" si="3"/>
        <v>7</v>
      </c>
      <c r="H4" s="25">
        <f t="shared" si="4"/>
        <v>8</v>
      </c>
      <c r="I4" s="25">
        <f t="shared" si="5"/>
        <v>10</v>
      </c>
      <c r="J4" s="25">
        <f t="shared" si="6"/>
        <v>9</v>
      </c>
      <c r="K4" s="25">
        <f t="shared" si="7"/>
        <v>10</v>
      </c>
      <c r="L4" s="25" t="str">
        <f t="shared" si="8"/>
        <v/>
      </c>
      <c r="M4" s="25" t="str">
        <f t="shared" si="9"/>
        <v/>
      </c>
      <c r="R4" s="27">
        <f>IFERROR(IF(T4=0,"",(RANK(T4,$T$3:$T$11)+COUNTIF($T4:T$11,T4)-1)),"")</f>
        <v>5</v>
      </c>
      <c r="S4" s="27" t="str">
        <f>IF($E$32="","",$E$32)</f>
        <v>Raptors</v>
      </c>
      <c r="T4" s="27">
        <f t="shared" ref="T4:T11" si="18">SUM(U4:AB4)</f>
        <v>39</v>
      </c>
      <c r="U4" s="27">
        <f t="shared" ref="U4:U11" si="19">IFERROR(IF(AC4=0,"",11-RANK(AC4,$AC$3:$AC$11,0)),"")</f>
        <v>7</v>
      </c>
      <c r="V4" s="27">
        <f t="shared" ref="V4:V11" si="20">IFERROR(IF(AD4=0,"",11-RANK(AD4,$AD$3:$AD$11,0)),"")</f>
        <v>8</v>
      </c>
      <c r="W4" s="27">
        <f t="shared" ref="W4:W11" si="21">IFERROR(IF(AE4=0,"",11-RANK(AE4,$AE$3:$AE$11,0)),"")</f>
        <v>4</v>
      </c>
      <c r="X4" s="27">
        <f t="shared" ref="X4:X11" si="22">IFERROR(IF(AF4=0,"",11-RANK(AF4,$AF$3:$AF$11,0)),"")</f>
        <v>7</v>
      </c>
      <c r="Y4" s="27">
        <f t="shared" ref="Y4:Y11" si="23">IFERROR(IF(AG4=0,"",11-RANK(AG4,$AG$3:$AG$11,0)),"")</f>
        <v>6</v>
      </c>
      <c r="Z4" s="27">
        <f t="shared" ref="Z4:Z11" si="24">IFERROR(IF(AH4=0,"",11-RANK(AH4,$AH$3:$AH$11,0)),"")</f>
        <v>7</v>
      </c>
      <c r="AA4" s="27" t="str" cm="1">
        <f t="array" ref="AA4">IFERROR(IF(AI=0,"",11-RANK(AI4,$AI$3:$AI$11,0)),"")</f>
        <v/>
      </c>
      <c r="AB4" s="27" t="str">
        <f t="shared" ref="AB4:AB11" si="25">IFERROR(IF(AJ4=0,"",11-RANK(AJ4,$AJ$3:$AJ$11,0)),"")</f>
        <v/>
      </c>
      <c r="AC4" s="27">
        <f t="shared" si="10"/>
        <v>118</v>
      </c>
      <c r="AD4" s="27">
        <f t="shared" si="11"/>
        <v>99</v>
      </c>
      <c r="AE4" s="27">
        <f t="shared" si="12"/>
        <v>53</v>
      </c>
      <c r="AF4" s="27">
        <f t="shared" si="13"/>
        <v>96</v>
      </c>
      <c r="AG4" s="27">
        <f t="shared" si="14"/>
        <v>107</v>
      </c>
      <c r="AH4" s="27">
        <f t="shared" si="15"/>
        <v>125</v>
      </c>
      <c r="AI4" s="27">
        <f t="shared" si="16"/>
        <v>0</v>
      </c>
      <c r="AJ4" s="27">
        <f t="shared" si="17"/>
        <v>0</v>
      </c>
    </row>
    <row r="5" spans="1:51" x14ac:dyDescent="0.3">
      <c r="C5" s="25">
        <v>3</v>
      </c>
      <c r="D5" s="26" t="str">
        <f t="shared" si="0"/>
        <v>TRexs</v>
      </c>
      <c r="E5" s="25">
        <f t="shared" si="1"/>
        <v>47</v>
      </c>
      <c r="F5" s="25">
        <f t="shared" si="2"/>
        <v>5</v>
      </c>
      <c r="G5" s="25">
        <f t="shared" si="3"/>
        <v>9</v>
      </c>
      <c r="H5" s="25">
        <f t="shared" si="4"/>
        <v>7</v>
      </c>
      <c r="I5" s="25">
        <f t="shared" si="5"/>
        <v>8</v>
      </c>
      <c r="J5" s="25">
        <f t="shared" si="6"/>
        <v>10</v>
      </c>
      <c r="K5" s="25">
        <f t="shared" si="7"/>
        <v>8</v>
      </c>
      <c r="L5" s="25" t="str">
        <f t="shared" si="8"/>
        <v/>
      </c>
      <c r="M5" s="25" t="str">
        <f t="shared" si="9"/>
        <v/>
      </c>
      <c r="R5" s="27">
        <f>IFERROR(IF(T5=0,"",(RANK(T5,$T$3:$T$11)+COUNTIF($T5:T$11,T5)-1)),"")</f>
        <v>4</v>
      </c>
      <c r="S5" s="27" t="str">
        <f>IF($E$41="","",$E$41)</f>
        <v>Buccaneers</v>
      </c>
      <c r="T5" s="27">
        <f t="shared" si="18"/>
        <v>43</v>
      </c>
      <c r="U5" s="27">
        <f t="shared" si="19"/>
        <v>10</v>
      </c>
      <c r="V5" s="27">
        <f t="shared" si="20"/>
        <v>6</v>
      </c>
      <c r="W5" s="27">
        <f t="shared" si="21"/>
        <v>9</v>
      </c>
      <c r="X5" s="27">
        <f t="shared" si="22"/>
        <v>5</v>
      </c>
      <c r="Y5" s="27">
        <f t="shared" si="23"/>
        <v>7</v>
      </c>
      <c r="Z5" s="27">
        <f t="shared" si="24"/>
        <v>6</v>
      </c>
      <c r="AA5" s="27" t="str" cm="1">
        <f t="array" ref="AA5">IFERROR(IF(AI=0,"",11-RANK(AI5,$AI$3:$AI$11,0)),"")</f>
        <v/>
      </c>
      <c r="AB5" s="27" t="str">
        <f t="shared" si="25"/>
        <v/>
      </c>
      <c r="AC5" s="27">
        <f t="shared" si="10"/>
        <v>131</v>
      </c>
      <c r="AD5" s="27">
        <f t="shared" si="11"/>
        <v>95</v>
      </c>
      <c r="AE5" s="27">
        <f t="shared" si="12"/>
        <v>129</v>
      </c>
      <c r="AF5" s="27">
        <f t="shared" si="13"/>
        <v>85</v>
      </c>
      <c r="AG5" s="27">
        <f t="shared" si="14"/>
        <v>110</v>
      </c>
      <c r="AH5" s="27">
        <f t="shared" si="15"/>
        <v>121</v>
      </c>
      <c r="AI5" s="27">
        <f t="shared" si="16"/>
        <v>0</v>
      </c>
      <c r="AJ5" s="27">
        <f t="shared" si="17"/>
        <v>0</v>
      </c>
    </row>
    <row r="6" spans="1:51" x14ac:dyDescent="0.3">
      <c r="C6" s="25">
        <v>4</v>
      </c>
      <c r="D6" s="26" t="str">
        <f t="shared" si="0"/>
        <v>Buccaneers</v>
      </c>
      <c r="E6" s="25">
        <f t="shared" si="1"/>
        <v>43</v>
      </c>
      <c r="F6" s="25">
        <f t="shared" si="2"/>
        <v>10</v>
      </c>
      <c r="G6" s="25">
        <f t="shared" si="3"/>
        <v>6</v>
      </c>
      <c r="H6" s="25">
        <f t="shared" si="4"/>
        <v>9</v>
      </c>
      <c r="I6" s="25">
        <f t="shared" si="5"/>
        <v>5</v>
      </c>
      <c r="J6" s="25">
        <f t="shared" si="6"/>
        <v>7</v>
      </c>
      <c r="K6" s="25">
        <f t="shared" si="7"/>
        <v>6</v>
      </c>
      <c r="L6" s="25" t="str">
        <f t="shared" si="8"/>
        <v/>
      </c>
      <c r="M6" s="25" t="str">
        <f t="shared" si="9"/>
        <v/>
      </c>
      <c r="R6" s="27">
        <f>IFERROR(IF(T6=0,"",(RANK(T6,$T$3:$T$11)+COUNTIF($T6:T$11,T6)-1)),"")</f>
        <v>6</v>
      </c>
      <c r="S6" s="27" t="str">
        <f>IF($E$50="","",$E$50)</f>
        <v>Meon</v>
      </c>
      <c r="T6" s="27">
        <f t="shared" si="18"/>
        <v>31</v>
      </c>
      <c r="U6" s="27">
        <f t="shared" si="19"/>
        <v>6</v>
      </c>
      <c r="V6" s="27">
        <f t="shared" si="20"/>
        <v>4</v>
      </c>
      <c r="W6" s="27">
        <f t="shared" si="21"/>
        <v>5</v>
      </c>
      <c r="X6" s="27">
        <f t="shared" si="22"/>
        <v>6</v>
      </c>
      <c r="Y6" s="27">
        <f t="shared" si="23"/>
        <v>5</v>
      </c>
      <c r="Z6" s="27">
        <f t="shared" si="24"/>
        <v>5</v>
      </c>
      <c r="AA6" s="27" t="str" cm="1">
        <f t="array" ref="AA6">IFERROR(IF(AI=0,"",11-RANK(AI6,$AI$3:$AI$11,0)),"")</f>
        <v/>
      </c>
      <c r="AB6" s="27" t="str">
        <f t="shared" si="25"/>
        <v/>
      </c>
      <c r="AC6" s="27">
        <f t="shared" si="10"/>
        <v>114</v>
      </c>
      <c r="AD6" s="27">
        <f t="shared" si="11"/>
        <v>71</v>
      </c>
      <c r="AE6" s="27">
        <f t="shared" si="12"/>
        <v>86</v>
      </c>
      <c r="AF6" s="27">
        <f t="shared" si="13"/>
        <v>91</v>
      </c>
      <c r="AG6" s="27">
        <f t="shared" si="14"/>
        <v>101</v>
      </c>
      <c r="AH6" s="27">
        <f t="shared" si="15"/>
        <v>96</v>
      </c>
      <c r="AI6" s="27">
        <f t="shared" si="16"/>
        <v>0</v>
      </c>
      <c r="AJ6" s="27">
        <f t="shared" si="17"/>
        <v>0</v>
      </c>
    </row>
    <row r="7" spans="1:51" x14ac:dyDescent="0.3">
      <c r="C7" s="25">
        <v>5</v>
      </c>
      <c r="D7" s="26" t="str">
        <f t="shared" si="0"/>
        <v>Raptors</v>
      </c>
      <c r="E7" s="25">
        <f t="shared" si="1"/>
        <v>39</v>
      </c>
      <c r="F7" s="25">
        <f t="shared" si="2"/>
        <v>7</v>
      </c>
      <c r="G7" s="25">
        <f t="shared" si="3"/>
        <v>8</v>
      </c>
      <c r="H7" s="25">
        <f t="shared" si="4"/>
        <v>4</v>
      </c>
      <c r="I7" s="25">
        <f t="shared" si="5"/>
        <v>7</v>
      </c>
      <c r="J7" s="25">
        <f t="shared" si="6"/>
        <v>6</v>
      </c>
      <c r="K7" s="25">
        <f t="shared" si="7"/>
        <v>7</v>
      </c>
      <c r="L7" s="25" t="str">
        <f t="shared" si="8"/>
        <v/>
      </c>
      <c r="M7" s="25" t="str">
        <f t="shared" si="9"/>
        <v/>
      </c>
      <c r="R7" s="27">
        <f>IFERROR(IF(T7=0,"",(RANK(T7,$T$3:$T$11)+COUNTIF($T7:T$11,T7)-1)),"")</f>
        <v>2</v>
      </c>
      <c r="S7" s="27" t="str">
        <f>IF($E$59="","",$E$59)</f>
        <v>Frobury</v>
      </c>
      <c r="T7" s="27">
        <f t="shared" si="18"/>
        <v>52</v>
      </c>
      <c r="U7" s="27">
        <f t="shared" si="19"/>
        <v>8</v>
      </c>
      <c r="V7" s="27">
        <f t="shared" si="20"/>
        <v>7</v>
      </c>
      <c r="W7" s="27">
        <f t="shared" si="21"/>
        <v>8</v>
      </c>
      <c r="X7" s="27">
        <f t="shared" si="22"/>
        <v>10</v>
      </c>
      <c r="Y7" s="27">
        <f t="shared" si="23"/>
        <v>9</v>
      </c>
      <c r="Z7" s="27">
        <f t="shared" si="24"/>
        <v>10</v>
      </c>
      <c r="AA7" s="27" t="str" cm="1">
        <f t="array" ref="AA7">IFERROR(IF(AI=0,"",11-RANK(AI7,$AI$3:$AI$11,0)),"")</f>
        <v/>
      </c>
      <c r="AB7" s="27" t="str">
        <f t="shared" si="25"/>
        <v/>
      </c>
      <c r="AC7" s="27">
        <f t="shared" si="10"/>
        <v>124</v>
      </c>
      <c r="AD7" s="27">
        <f t="shared" si="11"/>
        <v>96</v>
      </c>
      <c r="AE7" s="27">
        <f t="shared" si="12"/>
        <v>128</v>
      </c>
      <c r="AF7" s="27">
        <f t="shared" si="13"/>
        <v>126</v>
      </c>
      <c r="AG7" s="27">
        <f t="shared" si="14"/>
        <v>129</v>
      </c>
      <c r="AH7" s="27">
        <f t="shared" si="15"/>
        <v>137</v>
      </c>
      <c r="AI7" s="27">
        <f t="shared" si="16"/>
        <v>0</v>
      </c>
      <c r="AJ7" s="27">
        <f t="shared" si="17"/>
        <v>0</v>
      </c>
    </row>
    <row r="8" spans="1:51" x14ac:dyDescent="0.3">
      <c r="C8" s="25">
        <v>6</v>
      </c>
      <c r="D8" s="26" t="str">
        <f t="shared" si="0"/>
        <v>Meon</v>
      </c>
      <c r="E8" s="25">
        <f t="shared" si="1"/>
        <v>31</v>
      </c>
      <c r="F8" s="25">
        <f t="shared" si="2"/>
        <v>6</v>
      </c>
      <c r="G8" s="25">
        <f t="shared" si="3"/>
        <v>4</v>
      </c>
      <c r="H8" s="25">
        <f t="shared" si="4"/>
        <v>5</v>
      </c>
      <c r="I8" s="25">
        <f t="shared" si="5"/>
        <v>6</v>
      </c>
      <c r="J8" s="25">
        <f t="shared" si="6"/>
        <v>5</v>
      </c>
      <c r="K8" s="25">
        <f t="shared" si="7"/>
        <v>5</v>
      </c>
      <c r="L8" s="25" t="str">
        <f t="shared" si="8"/>
        <v/>
      </c>
      <c r="M8" s="25" t="str">
        <f t="shared" si="9"/>
        <v/>
      </c>
      <c r="R8" s="27">
        <f>IFERROR(IF(T8=0,"",(RANK(T8,$T$3:$T$11)+COUNTIF($T8:T$11,T8)-1)),"")</f>
        <v>7</v>
      </c>
      <c r="S8" s="27" t="str">
        <f>IF($E$68="","",$E$68)</f>
        <v>Newbury</v>
      </c>
      <c r="T8" s="27">
        <f t="shared" si="18"/>
        <v>28</v>
      </c>
      <c r="U8" s="27">
        <f t="shared" si="19"/>
        <v>4</v>
      </c>
      <c r="V8" s="27">
        <f t="shared" si="20"/>
        <v>5</v>
      </c>
      <c r="W8" s="27">
        <f t="shared" si="21"/>
        <v>6</v>
      </c>
      <c r="X8" s="27">
        <f t="shared" si="22"/>
        <v>5</v>
      </c>
      <c r="Y8" s="27">
        <f t="shared" si="23"/>
        <v>4</v>
      </c>
      <c r="Z8" s="27">
        <f t="shared" si="24"/>
        <v>4</v>
      </c>
      <c r="AA8" s="27" t="str" cm="1">
        <f t="array" ref="AA8">IFERROR(IF(AI=0,"",11-RANK(AI8,$AI$3:$AI$11,0)),"")</f>
        <v/>
      </c>
      <c r="AB8" s="27" t="str">
        <f t="shared" si="25"/>
        <v/>
      </c>
      <c r="AC8" s="27">
        <f t="shared" si="10"/>
        <v>82</v>
      </c>
      <c r="AD8" s="27">
        <f t="shared" si="11"/>
        <v>77</v>
      </c>
      <c r="AE8" s="27">
        <f t="shared" si="12"/>
        <v>102</v>
      </c>
      <c r="AF8" s="27">
        <f t="shared" si="13"/>
        <v>85</v>
      </c>
      <c r="AG8" s="27">
        <f t="shared" si="14"/>
        <v>92</v>
      </c>
      <c r="AH8" s="27">
        <f t="shared" si="15"/>
        <v>69</v>
      </c>
      <c r="AI8" s="27">
        <f t="shared" si="16"/>
        <v>0</v>
      </c>
      <c r="AJ8" s="27">
        <f t="shared" si="17"/>
        <v>0</v>
      </c>
    </row>
    <row r="9" spans="1:51" x14ac:dyDescent="0.3">
      <c r="C9" s="25">
        <v>7</v>
      </c>
      <c r="D9" s="26" t="str">
        <f t="shared" si="0"/>
        <v>Newbury</v>
      </c>
      <c r="E9" s="25">
        <f t="shared" si="1"/>
        <v>28</v>
      </c>
      <c r="F9" s="25">
        <f t="shared" si="2"/>
        <v>4</v>
      </c>
      <c r="G9" s="25">
        <f t="shared" si="3"/>
        <v>5</v>
      </c>
      <c r="H9" s="25">
        <f t="shared" si="4"/>
        <v>6</v>
      </c>
      <c r="I9" s="25">
        <f t="shared" si="5"/>
        <v>5</v>
      </c>
      <c r="J9" s="25">
        <f t="shared" si="6"/>
        <v>4</v>
      </c>
      <c r="K9" s="25">
        <f t="shared" si="7"/>
        <v>4</v>
      </c>
      <c r="L9" s="25" t="str">
        <f t="shared" si="8"/>
        <v/>
      </c>
      <c r="M9" s="25" t="str">
        <f t="shared" si="9"/>
        <v/>
      </c>
      <c r="R9" s="27">
        <f>IFERROR(IF(T9=0,"",(RANK(T9,$T$3:$T$11)+COUNTIF($T9:T$11,T9)-1)),"")</f>
        <v>1</v>
      </c>
      <c r="S9" s="27" t="str">
        <f>IF($E$77="","",$E$77)</f>
        <v>Warriors</v>
      </c>
      <c r="T9" s="27">
        <f t="shared" si="18"/>
        <v>56</v>
      </c>
      <c r="U9" s="27">
        <f t="shared" si="19"/>
        <v>9</v>
      </c>
      <c r="V9" s="27">
        <f t="shared" si="20"/>
        <v>10</v>
      </c>
      <c r="W9" s="27">
        <f t="shared" si="21"/>
        <v>10</v>
      </c>
      <c r="X9" s="27">
        <f t="shared" si="22"/>
        <v>9</v>
      </c>
      <c r="Y9" s="27">
        <f t="shared" si="23"/>
        <v>9</v>
      </c>
      <c r="Z9" s="27">
        <f t="shared" si="24"/>
        <v>9</v>
      </c>
      <c r="AA9" s="27" t="str" cm="1">
        <f t="array" ref="AA9">IFERROR(IF(AI=0,"",11-RANK(AI9,$AI$3:$AI$11,0)),"")</f>
        <v/>
      </c>
      <c r="AB9" s="27" t="str">
        <f t="shared" si="25"/>
        <v/>
      </c>
      <c r="AC9" s="27">
        <f t="shared" si="10"/>
        <v>128</v>
      </c>
      <c r="AD9" s="27">
        <f t="shared" si="11"/>
        <v>112</v>
      </c>
      <c r="AE9" s="27">
        <f t="shared" si="12"/>
        <v>134</v>
      </c>
      <c r="AF9" s="27">
        <f t="shared" si="13"/>
        <v>120</v>
      </c>
      <c r="AG9" s="27">
        <f t="shared" si="14"/>
        <v>129</v>
      </c>
      <c r="AH9" s="27">
        <f t="shared" si="15"/>
        <v>134</v>
      </c>
      <c r="AI9" s="27">
        <f t="shared" si="16"/>
        <v>0</v>
      </c>
      <c r="AJ9" s="27">
        <f t="shared" si="17"/>
        <v>0</v>
      </c>
    </row>
    <row r="10" spans="1:51" hidden="1" x14ac:dyDescent="0.3">
      <c r="C10" s="25">
        <v>8</v>
      </c>
      <c r="D10" s="26" t="str">
        <f t="shared" si="0"/>
        <v/>
      </c>
      <c r="E10" s="25" t="str">
        <f t="shared" si="1"/>
        <v/>
      </c>
      <c r="F10" s="25" t="str">
        <f t="shared" si="2"/>
        <v/>
      </c>
      <c r="G10" s="25" t="str">
        <f t="shared" si="3"/>
        <v/>
      </c>
      <c r="H10" s="25" t="str">
        <f t="shared" si="4"/>
        <v/>
      </c>
      <c r="I10" s="25" t="str">
        <f t="shared" si="5"/>
        <v/>
      </c>
      <c r="J10" s="25" t="str">
        <f t="shared" si="6"/>
        <v/>
      </c>
      <c r="K10" s="25" t="str">
        <f t="shared" si="7"/>
        <v/>
      </c>
      <c r="L10" s="25" t="str">
        <f t="shared" si="8"/>
        <v/>
      </c>
      <c r="M10" s="25" t="str">
        <f t="shared" si="9"/>
        <v/>
      </c>
      <c r="R10" s="27" t="str">
        <f>IFERROR(IF(T10=0,"",(RANK(T10,$T$3:$T$11)+COUNTIF($T10:T$11,T10)-1)),"")</f>
        <v/>
      </c>
      <c r="S10" s="27" t="str">
        <f>IF($E$86="","",$E$86)</f>
        <v/>
      </c>
      <c r="T10" s="27">
        <f t="shared" si="18"/>
        <v>0</v>
      </c>
      <c r="U10" s="27" t="str">
        <f t="shared" si="19"/>
        <v/>
      </c>
      <c r="V10" s="27" t="str">
        <f t="shared" si="20"/>
        <v/>
      </c>
      <c r="W10" s="27" t="str">
        <f t="shared" si="21"/>
        <v/>
      </c>
      <c r="X10" s="27" t="str">
        <f t="shared" si="22"/>
        <v/>
      </c>
      <c r="Y10" s="27" t="str">
        <f t="shared" si="23"/>
        <v/>
      </c>
      <c r="Z10" s="27" t="str">
        <f t="shared" si="24"/>
        <v/>
      </c>
      <c r="AA10" s="27" t="str" cm="1">
        <f t="array" ref="AA10">IFERROR(IF(AI=0,"",11-RANK(AI10,$AI$3:$AI$11,0)),"")</f>
        <v/>
      </c>
      <c r="AB10" s="27" t="str">
        <f t="shared" si="25"/>
        <v/>
      </c>
      <c r="AC10" s="27" t="str">
        <f t="shared" si="10"/>
        <v/>
      </c>
      <c r="AD10" s="27" t="str">
        <f t="shared" si="11"/>
        <v/>
      </c>
      <c r="AE10" s="27" t="str">
        <f t="shared" si="12"/>
        <v/>
      </c>
      <c r="AF10" s="27" t="str">
        <f t="shared" si="13"/>
        <v/>
      </c>
      <c r="AG10" s="27" t="str">
        <f t="shared" si="14"/>
        <v/>
      </c>
      <c r="AH10" s="27" t="str">
        <f t="shared" si="15"/>
        <v/>
      </c>
      <c r="AI10" s="27" t="str">
        <f t="shared" si="16"/>
        <v/>
      </c>
      <c r="AJ10" s="27" t="str">
        <f t="shared" si="17"/>
        <v/>
      </c>
    </row>
    <row r="11" spans="1:51" hidden="1" x14ac:dyDescent="0.3">
      <c r="C11" s="25">
        <v>9</v>
      </c>
      <c r="D11" s="26" t="str">
        <f t="shared" si="0"/>
        <v/>
      </c>
      <c r="E11" s="25" t="str">
        <f t="shared" si="1"/>
        <v/>
      </c>
      <c r="F11" s="25" t="str">
        <f t="shared" si="2"/>
        <v/>
      </c>
      <c r="G11" s="25" t="str">
        <f t="shared" si="3"/>
        <v/>
      </c>
      <c r="H11" s="25" t="str">
        <f t="shared" si="4"/>
        <v/>
      </c>
      <c r="I11" s="25" t="str">
        <f t="shared" si="5"/>
        <v/>
      </c>
      <c r="J11" s="25" t="str">
        <f t="shared" si="6"/>
        <v/>
      </c>
      <c r="K11" s="25" t="str">
        <f t="shared" si="7"/>
        <v/>
      </c>
      <c r="L11" s="25" t="str">
        <f t="shared" si="8"/>
        <v/>
      </c>
      <c r="M11" s="25" t="str">
        <f t="shared" si="9"/>
        <v/>
      </c>
      <c r="R11" s="27" t="str">
        <f>IFERROR(IF(T11=0,"",(RANK(T11,$T$3:$T$11)+COUNTIF($T11:T$11,T11)-1)),"")</f>
        <v/>
      </c>
      <c r="S11" s="27" t="str">
        <f>IF($E$95="","",$E$95)</f>
        <v/>
      </c>
      <c r="T11" s="27">
        <f t="shared" si="18"/>
        <v>0</v>
      </c>
      <c r="U11" s="27" t="str">
        <f t="shared" si="19"/>
        <v/>
      </c>
      <c r="V11" s="27" t="str">
        <f t="shared" si="20"/>
        <v/>
      </c>
      <c r="W11" s="27" t="str">
        <f t="shared" si="21"/>
        <v/>
      </c>
      <c r="X11" s="27" t="str">
        <f t="shared" si="22"/>
        <v/>
      </c>
      <c r="Y11" s="27" t="str">
        <f t="shared" si="23"/>
        <v/>
      </c>
      <c r="Z11" s="27" t="str">
        <f t="shared" si="24"/>
        <v/>
      </c>
      <c r="AA11" s="27" t="str" cm="1">
        <f t="array" ref="AA11">IFERROR(IF(AI=0,"",11-RANK(AI11,$AI$3:$AI$11,0)),"")</f>
        <v/>
      </c>
      <c r="AB11" s="27" t="str">
        <f t="shared" si="25"/>
        <v/>
      </c>
      <c r="AC11" s="27" t="str">
        <f t="shared" si="10"/>
        <v/>
      </c>
      <c r="AD11" s="27" t="str">
        <f t="shared" si="11"/>
        <v/>
      </c>
      <c r="AE11" s="27" t="str">
        <f t="shared" si="12"/>
        <v/>
      </c>
      <c r="AF11" s="27" t="str">
        <f t="shared" si="13"/>
        <v/>
      </c>
      <c r="AG11" s="27" t="str">
        <f t="shared" si="14"/>
        <v/>
      </c>
      <c r="AH11" s="27" t="str">
        <f t="shared" si="15"/>
        <v/>
      </c>
      <c r="AI11" s="27" t="str">
        <f t="shared" si="16"/>
        <v/>
      </c>
      <c r="AJ11" s="27" t="str">
        <f t="shared" si="17"/>
        <v/>
      </c>
    </row>
    <row r="12" spans="1:51" hidden="1" x14ac:dyDescent="0.3">
      <c r="C12" s="25">
        <v>10</v>
      </c>
      <c r="D12" s="26" t="str">
        <f t="shared" si="0"/>
        <v/>
      </c>
      <c r="E12" s="25" t="str">
        <f t="shared" si="1"/>
        <v/>
      </c>
      <c r="F12" s="25" t="str">
        <f t="shared" si="2"/>
        <v/>
      </c>
      <c r="G12" s="25" t="str">
        <f t="shared" si="3"/>
        <v/>
      </c>
      <c r="H12" s="25" t="str">
        <f t="shared" si="4"/>
        <v/>
      </c>
      <c r="I12" s="25" t="str">
        <f t="shared" si="5"/>
        <v/>
      </c>
      <c r="J12" s="25" t="str">
        <f t="shared" si="6"/>
        <v/>
      </c>
      <c r="K12" s="25" t="str">
        <f t="shared" si="7"/>
        <v/>
      </c>
      <c r="L12" s="25" t="str">
        <f t="shared" si="8"/>
        <v/>
      </c>
      <c r="M12" s="25" t="str">
        <f t="shared" si="9"/>
        <v/>
      </c>
    </row>
    <row r="13" spans="1:51" x14ac:dyDescent="0.3">
      <c r="U13" s="74"/>
      <c r="V13" s="74"/>
      <c r="W13" s="74"/>
      <c r="X13" s="74"/>
      <c r="Y13" s="74"/>
      <c r="Z13" s="74"/>
      <c r="AA13" s="74"/>
      <c r="AB13" s="74"/>
    </row>
    <row r="14" spans="1:51" x14ac:dyDescent="0.3">
      <c r="B14" s="38" t="s">
        <v>0</v>
      </c>
      <c r="C14" s="38" t="s">
        <v>2</v>
      </c>
      <c r="D14" s="38" t="s">
        <v>5</v>
      </c>
      <c r="E14" s="38" t="s">
        <v>127</v>
      </c>
      <c r="F14" s="38" t="s">
        <v>128</v>
      </c>
      <c r="G14" s="38" t="s">
        <v>129</v>
      </c>
      <c r="H14" s="38" t="s">
        <v>130</v>
      </c>
      <c r="I14" s="38" t="s">
        <v>131</v>
      </c>
      <c r="J14" s="38" t="s">
        <v>132</v>
      </c>
      <c r="K14" s="38" t="s">
        <v>133</v>
      </c>
      <c r="L14" s="38" t="s">
        <v>134</v>
      </c>
      <c r="M14" s="38" t="s">
        <v>135</v>
      </c>
      <c r="N14" s="38" t="s">
        <v>136</v>
      </c>
      <c r="U14" s="97" t="s">
        <v>22</v>
      </c>
      <c r="V14" s="97" t="s">
        <v>9</v>
      </c>
      <c r="W14" s="97" t="s">
        <v>128</v>
      </c>
      <c r="X14" s="97"/>
      <c r="Y14" s="97"/>
      <c r="Z14" s="97" t="s">
        <v>129</v>
      </c>
      <c r="AA14" s="97"/>
      <c r="AB14" s="97"/>
      <c r="AC14" s="97" t="s">
        <v>130</v>
      </c>
      <c r="AD14" s="97"/>
      <c r="AE14" s="97"/>
      <c r="AF14" s="97" t="s">
        <v>131</v>
      </c>
      <c r="AG14" s="97"/>
      <c r="AH14" s="97"/>
      <c r="AI14" s="97" t="s">
        <v>132</v>
      </c>
      <c r="AJ14" s="97"/>
      <c r="AK14" s="97"/>
      <c r="AL14" s="97" t="s">
        <v>133</v>
      </c>
      <c r="AM14" s="97"/>
      <c r="AN14" s="97"/>
      <c r="AO14" s="97" t="s">
        <v>134</v>
      </c>
      <c r="AP14" s="97"/>
      <c r="AQ14" s="97"/>
      <c r="AR14" s="97" t="s">
        <v>135</v>
      </c>
      <c r="AS14" s="38"/>
      <c r="AT14" s="38"/>
      <c r="AU14" s="38"/>
      <c r="AV14" s="38"/>
      <c r="AW14" s="38"/>
      <c r="AX14" s="38"/>
      <c r="AY14" s="38"/>
    </row>
    <row r="15" spans="1:51" x14ac:dyDescent="0.3">
      <c r="B15" t="s">
        <v>138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51" x14ac:dyDescent="0.3">
      <c r="A16">
        <v>1</v>
      </c>
      <c r="B16" s="28" t="s">
        <v>25</v>
      </c>
      <c r="C16" s="29" t="str">
        <f>IF(B16="","",VLOOKUP(B16,Lookups!$A$2:$F$108,3,FALSE))</f>
        <v>AA</v>
      </c>
      <c r="D16" s="30" t="str">
        <f>IF(B16="","",VLOOKUP(B16,Lookups!$A$2:$F$109,6,FALSE))</f>
        <v>Carisbrooke TRex's</v>
      </c>
      <c r="E16" s="29">
        <f>IFERROR(VLOOKUP(C16,Lookups!$K$11:$L$16,2,FALSE),"")</f>
        <v>0</v>
      </c>
      <c r="F16" s="25" t="str">
        <f>IF($B16="","",IF(VLOOKUP($B16,Scores!$A$2:$I$100,2,FALSE)=0,"",VLOOKUP($B16,Scores!$A$2:$I$100,2,FALSE)+IF(VLOOKUP($B16,Scores!$A$2:$I$100,2,FALSE)=MAX(Calculations!$N$6:$N$105),1,0)+$E16))</f>
        <v/>
      </c>
      <c r="G16" s="25">
        <f>IF($B16="","",IF(VLOOKUP($B16,Scores!$A$2:$I$100,3,FALSE)=0,"",VLOOKUP($B16,Scores!$A$2:$I$100,3,FALSE)+IF(VLOOKUP($B16,Scores!$A$2:$I$100,3,FALSE)=MAX(Calculations!$O$6:$O$105),1,0)+$E16))</f>
        <v>28</v>
      </c>
      <c r="H16" s="25">
        <f>IF($B16="","",IF(VLOOKUP($B16,Scores!$A$2:$I$100,4,FALSE)=0,"",VLOOKUP($B16,Scores!$A$2:$I$100,4,FALSE)+IF(VLOOKUP($B16,Scores!$A$2:$I$100,4,FALSE)=MAX(Calculations!$P$6:$P$105),1,0)+$E16))</f>
        <v>34</v>
      </c>
      <c r="I16" s="25">
        <f>IF($B16="","",IF(VLOOKUP($B16,Scores!$A$2:$I$100,5,FALSE)=0,"",VLOOKUP($B16,Scores!$A$2:$I$100,5,FALSE)+IF(VLOOKUP($B16,Scores!$A$2:$I$100,5,FALSE)=MAX(Calculations!$Q$6:$Q$105),1,0)+$E16))</f>
        <v>30</v>
      </c>
      <c r="J16" s="25">
        <f>IF($B16="","",IF(VLOOKUP($B16,Scores!$A$2:$I$100,6,FALSE)=0,"",VLOOKUP($B16,Scores!$A$2:$I$100,6,FALSE)+IF(VLOOKUP($B16,Scores!$A$2:$I$100,6,FALSE)=MAX(Calculations!$R$6:$R$105),1,0)+$E16))</f>
        <v>35</v>
      </c>
      <c r="K16" s="25">
        <f>IF($B16="","",IF(VLOOKUP($B16,Scores!$A$2:$I$100,7,FALSE)=0,"",VLOOKUP($B16,Scores!$A$2:$I$100,7,FALSE)+IF(VLOOKUP($B16,Scores!$A$2:$I$100,7,FALSE)=MAX(Calculations!$S$6:$S$105),1,0)+$E16))</f>
        <v>35</v>
      </c>
      <c r="L16" s="25" t="str">
        <f>IF($B16="","",IF(VLOOKUP($B16,Scores!$A$2:$I$100,8,FALSE)=0,"",VLOOKUP($B16,Scores!$A$2:$I$100,8,FALSE)+IF(VLOOKUP($B16,Scores!$A$2:$I$100,8,FALSE)=MAX(Calculations!$T$6:$T$105),1,0)+$E16))</f>
        <v/>
      </c>
      <c r="M16" s="25" t="str">
        <f>IF($B16="","",IF(VLOOKUP($B16,Scores!$A$2:$I$100,9,FALSE)=0,"",VLOOKUP($B16,Scores!$A$2:$I$100,9,FALSE)+IF(VLOOKUP($B16,Scores!$A$2:$I$100,9,FALSE)=MAX(Calculations!$U$6:$U$105),1,0)+$E16))</f>
        <v/>
      </c>
      <c r="N16" s="25">
        <f>SUM(F16:M16)</f>
        <v>162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56" x14ac:dyDescent="0.3">
      <c r="A17">
        <v>2</v>
      </c>
      <c r="B17" s="28" t="s">
        <v>36</v>
      </c>
      <c r="C17" s="29" t="str">
        <f>IF(B17="","",VLOOKUP(B17,Lookups!$A$2:$F$108,3,FALSE))</f>
        <v>AA</v>
      </c>
      <c r="D17" s="30" t="str">
        <f>IF(B17="","",VLOOKUP(B17,Lookups!$A$2:$F$109,6,FALSE))</f>
        <v>Carisbrooke TRex's</v>
      </c>
      <c r="E17" s="29">
        <f>IFERROR(VLOOKUP(C17,Lookups!$K$11:$L$16,2,FALSE),"")</f>
        <v>0</v>
      </c>
      <c r="F17" s="25">
        <f>IF($B17="","",IF(VLOOKUP($B17,Scores!$A$2:$I$100,2,FALSE)=0,"",VLOOKUP($B17,Scores!$A$2:$I$100,2,FALSE)+IF(VLOOKUP($B17,Scores!$A$2:$I$100,2,FALSE)=MAX(Calculations!$N$6:$N$105),1,0)+$E17))</f>
        <v>32</v>
      </c>
      <c r="G17" s="25">
        <f>IF($B17="","",IF(VLOOKUP($B17,Scores!$A$2:$I$100,3,FALSE)=0,"",VLOOKUP($B17,Scores!$A$2:$I$100,3,FALSE)+IF(VLOOKUP($B17,Scores!$A$2:$I$100,3,FALSE)=MAX(Calculations!$O$6:$O$105),1,0)+$E17))</f>
        <v>27</v>
      </c>
      <c r="H17" s="25" t="str">
        <f>IF($B17="","",IF(VLOOKUP($B17,Scores!$A$2:$I$100,4,FALSE)=0,"",VLOOKUP($B17,Scores!$A$2:$I$100,4,FALSE)+IF(VLOOKUP($B17,Scores!$A$2:$I$100,4,FALSE)=MAX(Calculations!$P$6:$P$105),1,0)+$E17))</f>
        <v/>
      </c>
      <c r="I17" s="25" t="str">
        <f>IF($B17="","",IF(VLOOKUP($B17,Scores!$A$2:$I$100,5,FALSE)=0,"",VLOOKUP($B17,Scores!$A$2:$I$100,5,FALSE)+IF(VLOOKUP($B17,Scores!$A$2:$I$100,5,FALSE)=MAX(Calculations!$Q$6:$Q$105),1,0)+$E17))</f>
        <v/>
      </c>
      <c r="J17" s="25">
        <f>IF($B17="","",IF(VLOOKUP($B17,Scores!$A$2:$I$100,6,FALSE)=0,"",VLOOKUP($B17,Scores!$A$2:$I$100,6,FALSE)+IF(VLOOKUP($B17,Scores!$A$2:$I$100,6,FALSE)=MAX(Calculations!$R$6:$R$105),1,0)+$E17))</f>
        <v>32</v>
      </c>
      <c r="K17" s="25">
        <f>IF($B17="","",IF(VLOOKUP($B17,Scores!$A$2:$I$100,7,FALSE)=0,"",VLOOKUP($B17,Scores!$A$2:$I$100,7,FALSE)+IF(VLOOKUP($B17,Scores!$A$2:$I$100,7,FALSE)=MAX(Calculations!$S$6:$S$105),1,0)+$E17))</f>
        <v>35</v>
      </c>
      <c r="L17" s="25" t="str">
        <f>IF($B17="","",IF(VLOOKUP($B17,Scores!$A$2:$I$100,8,FALSE)=0,"",VLOOKUP($B17,Scores!$A$2:$I$100,8,FALSE)+IF(VLOOKUP($B17,Scores!$A$2:$I$100,8,FALSE)=MAX(Calculations!$T$6:$T$105),1,0)+$E17))</f>
        <v/>
      </c>
      <c r="M17" s="25" t="str">
        <f>IF($B17="","",IF(VLOOKUP($B17,Scores!$A$2:$I$100,9,FALSE)=0,"",VLOOKUP($B17,Scores!$A$2:$I$100,9,FALSE)+IF(VLOOKUP($B17,Scores!$A$2:$I$100,9,FALSE)=MAX(Calculations!$U$6:$U$105),1,0)+$E17))</f>
        <v/>
      </c>
      <c r="N17" s="25">
        <f t="shared" ref="N17:N21" si="26">SUM(F17:M17)</f>
        <v>126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56" x14ac:dyDescent="0.3">
      <c r="A18">
        <v>3</v>
      </c>
      <c r="B18" s="28" t="s">
        <v>59</v>
      </c>
      <c r="C18" s="29" t="str">
        <f>IF(B18="","",VLOOKUP(B18,Lookups!$A$2:$F$108,3,FALSE))</f>
        <v>B</v>
      </c>
      <c r="D18" s="30" t="str">
        <f>IF(B18="","",VLOOKUP(B18,Lookups!$A$2:$F$109,6,FALSE))</f>
        <v>Carisbrooke TRex's</v>
      </c>
      <c r="E18" s="29">
        <f>IFERROR(VLOOKUP(C18,Lookups!$K$11:$L$16,2,FALSE),"")</f>
        <v>3</v>
      </c>
      <c r="F18" s="25" t="str">
        <f>IF($B18="","",IF(VLOOKUP($B18,Scores!$A$2:$I$100,2,FALSE)=0,"",VLOOKUP($B18,Scores!$A$2:$I$100,2,FALSE)+IF(VLOOKUP($B18,Scores!$A$2:$I$100,2,FALSE)=MAX(Calculations!$N$6:$N$105),1,0)+$E18))</f>
        <v/>
      </c>
      <c r="G18" s="25">
        <f>IF($B18="","",IF(VLOOKUP($B18,Scores!$A$2:$I$100,3,FALSE)=0,"",VLOOKUP($B18,Scores!$A$2:$I$100,3,FALSE)+IF(VLOOKUP($B18,Scores!$A$2:$I$100,3,FALSE)=MAX(Calculations!$O$6:$O$105),1,0)+$E18))</f>
        <v>28</v>
      </c>
      <c r="H18" s="25">
        <f>IF($B18="","",IF(VLOOKUP($B18,Scores!$A$2:$I$100,4,FALSE)=0,"",VLOOKUP($B18,Scores!$A$2:$I$100,4,FALSE)+IF(VLOOKUP($B18,Scores!$A$2:$I$100,4,FALSE)=MAX(Calculations!$P$6:$P$105),1,0)+$E18))</f>
        <v>32</v>
      </c>
      <c r="I18" s="25">
        <f>IF($B18="","",IF(VLOOKUP($B18,Scores!$A$2:$I$100,5,FALSE)=0,"",VLOOKUP($B18,Scores!$A$2:$I$100,5,FALSE)+IF(VLOOKUP($B18,Scores!$A$2:$I$100,5,FALSE)=MAX(Calculations!$Q$6:$Q$105),1,0)+$E18))</f>
        <v>29</v>
      </c>
      <c r="J18" s="25">
        <f>IF($B18="","",IF(VLOOKUP($B18,Scores!$A$2:$I$100,6,FALSE)=0,"",VLOOKUP($B18,Scores!$A$2:$I$100,6,FALSE)+IF(VLOOKUP($B18,Scores!$A$2:$I$100,6,FALSE)=MAX(Calculations!$R$6:$R$105),1,0)+$E18))</f>
        <v>37</v>
      </c>
      <c r="K18" s="25">
        <f>IF($B18="","",IF(VLOOKUP($B18,Scores!$A$2:$I$100,7,FALSE)=0,"",VLOOKUP($B18,Scores!$A$2:$I$100,7,FALSE)+IF(VLOOKUP($B18,Scores!$A$2:$I$100,7,FALSE)=MAX(Calculations!$S$6:$S$105),1,0)+$E18))</f>
        <v>32</v>
      </c>
      <c r="L18" s="25" t="str">
        <f>IF($B18="","",IF(VLOOKUP($B18,Scores!$A$2:$I$100,8,FALSE)=0,"",VLOOKUP($B18,Scores!$A$2:$I$100,8,FALSE)+IF(VLOOKUP($B18,Scores!$A$2:$I$100,8,FALSE)=MAX(Calculations!$T$6:$T$105),1,0)+$E18))</f>
        <v/>
      </c>
      <c r="M18" s="25" t="str">
        <f>IF($B18="","",IF(VLOOKUP($B18,Scores!$A$2:$I$100,9,FALSE)=0,"",VLOOKUP($B18,Scores!$A$2:$I$100,9,FALSE)+IF(VLOOKUP($B18,Scores!$A$2:$I$100,9,FALSE)=MAX(Calculations!$U$6:$U$105),1,0)+$E18))</f>
        <v/>
      </c>
      <c r="N18" s="25">
        <f t="shared" si="26"/>
        <v>158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56" x14ac:dyDescent="0.3">
      <c r="A19">
        <v>4</v>
      </c>
      <c r="B19" s="28" t="s">
        <v>174</v>
      </c>
      <c r="C19" s="29" t="str">
        <f>IF(B19="","",VLOOKUP(B19,Lookups!$A$2:$F$108,3,FALSE))</f>
        <v>B</v>
      </c>
      <c r="D19" s="30" t="str">
        <f>IF(B19="","",VLOOKUP(B19,Lookups!$A$2:$F$109,6,FALSE))</f>
        <v>Carisbrooke TRex's</v>
      </c>
      <c r="E19" s="29">
        <f>IFERROR(VLOOKUP(C19,Lookups!$K$11:$L$16,2,FALSE),"")</f>
        <v>3</v>
      </c>
      <c r="F19" s="25">
        <f>IF($B19="","",IF(VLOOKUP($B19,Scores!$A$2:$I$100,2,FALSE)=0,"",VLOOKUP($B19,Scores!$A$2:$I$100,2,FALSE)+IF(VLOOKUP($B19,Scores!$A$2:$I$100,2,FALSE)=MAX(Calculations!$N$6:$N$105),1,0)+$E19))</f>
        <v>31</v>
      </c>
      <c r="G19" s="25">
        <f>IF($B19="","",IF(VLOOKUP($B19,Scores!$A$2:$I$100,3,FALSE)=0,"",VLOOKUP($B19,Scores!$A$2:$I$100,3,FALSE)+IF(VLOOKUP($B19,Scores!$A$2:$I$100,3,FALSE)=MAX(Calculations!$O$6:$O$105),1,0)+$E19))</f>
        <v>21</v>
      </c>
      <c r="H19" s="25">
        <f>IF($B19="","",IF(VLOOKUP($B19,Scores!$A$2:$I$100,4,FALSE)=0,"",VLOOKUP($B19,Scores!$A$2:$I$100,4,FALSE)+IF(VLOOKUP($B19,Scores!$A$2:$I$100,4,FALSE)=MAX(Calculations!$P$6:$P$105),1,0)+$E19))</f>
        <v>30</v>
      </c>
      <c r="I19" s="25">
        <f>IF($B19="","",IF(VLOOKUP($B19,Scores!$A$2:$I$100,5,FALSE)=0,"",VLOOKUP($B19,Scores!$A$2:$I$100,5,FALSE)+IF(VLOOKUP($B19,Scores!$A$2:$I$100,5,FALSE)=MAX(Calculations!$Q$6:$Q$105),1,0)+$E19))</f>
        <v>32</v>
      </c>
      <c r="J19" s="25">
        <f>IF($B19="","",IF(VLOOKUP($B19,Scores!$A$2:$I$100,6,FALSE)=0,"",VLOOKUP($B19,Scores!$A$2:$I$100,6,FALSE)+IF(VLOOKUP($B19,Scores!$A$2:$I$100,6,FALSE)=MAX(Calculations!$R$6:$R$105),1,0)+$E19))</f>
        <v>34</v>
      </c>
      <c r="K19" s="25">
        <f>IF($B19="","",IF(VLOOKUP($B19,Scores!$A$2:$I$100,7,FALSE)=0,"",VLOOKUP($B19,Scores!$A$2:$I$100,7,FALSE)+IF(VLOOKUP($B19,Scores!$A$2:$I$100,7,FALSE)=MAX(Calculations!$S$6:$S$105),1,0)+$E19))</f>
        <v>30</v>
      </c>
      <c r="L19" s="25" t="str">
        <f>IF($B19="","",IF(VLOOKUP($B19,Scores!$A$2:$I$100,8,FALSE)=0,"",VLOOKUP($B19,Scores!$A$2:$I$100,8,FALSE)+IF(VLOOKUP($B19,Scores!$A$2:$I$100,8,FALSE)=MAX(Calculations!$T$6:$T$105),1,0)+$E19))</f>
        <v/>
      </c>
      <c r="M19" s="25" t="str">
        <f>IF($B19="","",IF(VLOOKUP($B19,Scores!$A$2:$I$100,9,FALSE)=0,"",VLOOKUP($B19,Scores!$A$2:$I$100,9,FALSE)+IF(VLOOKUP($B19,Scores!$A$2:$I$100,9,FALSE)=MAX(Calculations!$U$6:$U$105),1,0)+$E19))</f>
        <v/>
      </c>
      <c r="N19" s="25">
        <f t="shared" si="26"/>
        <v>178</v>
      </c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56" x14ac:dyDescent="0.3">
      <c r="A20">
        <v>5</v>
      </c>
      <c r="B20" s="28" t="s">
        <v>109</v>
      </c>
      <c r="C20" s="29" t="str">
        <f>IF(B20="","",VLOOKUP(B20,Lookups!$A$2:$F$108,3,FALSE))</f>
        <v>O</v>
      </c>
      <c r="D20" s="30" t="str">
        <f>IF(B20="","",VLOOKUP(B20,Lookups!$A$2:$F$109,6,FALSE))</f>
        <v>Carisbrooke TRex's</v>
      </c>
      <c r="E20" s="29">
        <f>IFERROR(VLOOKUP(C20,Lookups!$K$11:$L$16,2,FALSE),"")</f>
        <v>-7</v>
      </c>
      <c r="F20" s="25">
        <f>IF($B20="","",IF(VLOOKUP($B20,Scores!$A$2:$I$100,2,FALSE)=0,"",VLOOKUP($B20,Scores!$A$2:$I$100,2,FALSE)+IF(VLOOKUP($B20,Scores!$A$2:$I$100,2,FALSE)=MAX(Calculations!$N$6:$N$105),1,0)+$E20))</f>
        <v>21</v>
      </c>
      <c r="G20" s="25">
        <f>IF($B20="","",IF(VLOOKUP($B20,Scores!$A$2:$I$100,3,FALSE)=0,"",VLOOKUP($B20,Scores!$A$2:$I$100,3,FALSE)+IF(VLOOKUP($B20,Scores!$A$2:$I$100,3,FALSE)=MAX(Calculations!$O$6:$O$105),1,0)+$E20))</f>
        <v>11</v>
      </c>
      <c r="H20" s="25">
        <f>IF($B20="","",IF(VLOOKUP($B20,Scores!$A$2:$I$100,4,FALSE)=0,"",VLOOKUP($B20,Scores!$A$2:$I$100,4,FALSE)+IF(VLOOKUP($B20,Scores!$A$2:$I$100,4,FALSE)=MAX(Calculations!$P$6:$P$105),1,0)+$E20))</f>
        <v>23</v>
      </c>
      <c r="I20" s="25" t="str">
        <f>IF($B20="","",IF(VLOOKUP($B20,Scores!$A$2:$I$100,5,FALSE)=0,"",VLOOKUP($B20,Scores!$A$2:$I$100,5,FALSE)+IF(VLOOKUP($B20,Scores!$A$2:$I$100,5,FALSE)=MAX(Calculations!$Q$6:$Q$105),1,0)+$E20))</f>
        <v/>
      </c>
      <c r="J20" s="25">
        <f>IF($B20="","",IF(VLOOKUP($B20,Scores!$A$2:$I$100,6,FALSE)=0,"",VLOOKUP($B20,Scores!$A$2:$I$100,6,FALSE)+IF(VLOOKUP($B20,Scores!$A$2:$I$100,6,FALSE)=MAX(Calculations!$R$6:$R$105),1,0)+$E20))</f>
        <v>21</v>
      </c>
      <c r="K20" s="25">
        <f>IF($B20="","",IF(VLOOKUP($B20,Scores!$A$2:$I$100,7,FALSE)=0,"",VLOOKUP($B20,Scores!$A$2:$I$100,7,FALSE)+IF(VLOOKUP($B20,Scores!$A$2:$I$100,7,FALSE)=MAX(Calculations!$S$6:$S$105),1,0)+$E20))</f>
        <v>21</v>
      </c>
      <c r="L20" s="25" t="str">
        <f>IF($B20="","",IF(VLOOKUP($B20,Scores!$A$2:$I$100,8,FALSE)=0,"",VLOOKUP($B20,Scores!$A$2:$I$100,8,FALSE)+IF(VLOOKUP($B20,Scores!$A$2:$I$100,8,FALSE)=MAX(Calculations!$T$6:$T$105),1,0)+$E20))</f>
        <v/>
      </c>
      <c r="M20" s="25" t="str">
        <f>IF($B20="","",IF(VLOOKUP($B20,Scores!$A$2:$I$100,9,FALSE)=0,"",VLOOKUP($B20,Scores!$A$2:$I$100,9,FALSE)+IF(VLOOKUP($B20,Scores!$A$2:$I$100,9,FALSE)=MAX(Calculations!$U$6:$U$105),1,0)+$E20))</f>
        <v/>
      </c>
      <c r="N20" s="25">
        <f t="shared" si="26"/>
        <v>97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56" x14ac:dyDescent="0.3">
      <c r="A21">
        <v>6</v>
      </c>
      <c r="B21" s="28" t="s">
        <v>67</v>
      </c>
      <c r="C21" s="29" t="str">
        <f>IF(B21="","",VLOOKUP(B21,Lookups!$A$2:$F$108,3,FALSE))</f>
        <v>C</v>
      </c>
      <c r="D21" s="30" t="str">
        <f>IF(B21="","",VLOOKUP(B21,Lookups!$A$2:$F$109,6,FALSE))</f>
        <v>Carisbrooke TRex's</v>
      </c>
      <c r="E21" s="29">
        <f>IFERROR(VLOOKUP(C21,Lookups!$K$11:$L$16,2,FALSE),"")</f>
        <v>4</v>
      </c>
      <c r="F21" s="25">
        <f>IF($B21="","",IF(VLOOKUP($B21,Scores!$A$2:$I$100,2,FALSE)=0,"",VLOOKUP($B21,Scores!$A$2:$I$100,2,FALSE)+IF(VLOOKUP($B21,Scores!$A$2:$I$100,2,FALSE)=MAX(Calculations!$N$6:$N$105),1,0)+$E21))</f>
        <v>25</v>
      </c>
      <c r="G21" s="25">
        <f>IF($B21="","",IF(VLOOKUP($B21,Scores!$A$2:$I$100,3,FALSE)=0,"",VLOOKUP($B21,Scores!$A$2:$I$100,3,FALSE)+IF(VLOOKUP($B21,Scores!$A$2:$I$100,3,FALSE)=MAX(Calculations!$O$6:$O$105),1,0)+$E21))</f>
        <v>24</v>
      </c>
      <c r="H21" s="25">
        <f>IF($B21="","",IF(VLOOKUP($B21,Scores!$A$2:$I$100,4,FALSE)=0,"",VLOOKUP($B21,Scores!$A$2:$I$100,4,FALSE)+IF(VLOOKUP($B21,Scores!$A$2:$I$100,4,FALSE)=MAX(Calculations!$P$6:$P$105),1,0)+$E21))</f>
        <v>31</v>
      </c>
      <c r="I21" s="25">
        <f>IF($B21="","",IF(VLOOKUP($B21,Scores!$A$2:$I$100,5,FALSE)=0,"",VLOOKUP($B21,Scores!$A$2:$I$100,5,FALSE)+IF(VLOOKUP($B21,Scores!$A$2:$I$100,5,FALSE)=MAX(Calculations!$Q$6:$Q$105),1,0)+$E21))</f>
        <v>26</v>
      </c>
      <c r="J21" s="25">
        <f>IF($B21="","",IF(VLOOKUP($B21,Scores!$A$2:$I$100,6,FALSE)=0,"",VLOOKUP($B21,Scores!$A$2:$I$100,6,FALSE)+IF(VLOOKUP($B21,Scores!$A$2:$I$100,6,FALSE)=MAX(Calculations!$R$6:$R$105),1,0)+$E21))</f>
        <v>27</v>
      </c>
      <c r="K21" s="25">
        <f>IF($B21="","",IF(VLOOKUP($B21,Scores!$A$2:$I$100,7,FALSE)=0,"",VLOOKUP($B21,Scores!$A$2:$I$100,7,FALSE)+IF(VLOOKUP($B21,Scores!$A$2:$I$100,7,FALSE)=MAX(Calculations!$S$6:$S$105),1,0)+$E21))</f>
        <v>27</v>
      </c>
      <c r="L21" s="25" t="str">
        <f>IF($B21="","",IF(VLOOKUP($B21,Scores!$A$2:$I$100,8,FALSE)=0,"",VLOOKUP($B21,Scores!$A$2:$I$100,8,FALSE)+IF(VLOOKUP($B21,Scores!$A$2:$I$100,8,FALSE)=MAX(Calculations!$T$6:$T$105),1,0)+$E21))</f>
        <v/>
      </c>
      <c r="M21" s="25" t="str">
        <f>IF($B21="","",IF(VLOOKUP($B21,Scores!$A$2:$I$100,9,FALSE)=0,"",VLOOKUP($B21,Scores!$A$2:$I$100,9,FALSE)+IF(VLOOKUP($B21,Scores!$A$2:$I$100,9,FALSE)=MAX(Calculations!$U$6:$U$105),1,0)+$E21))</f>
        <v/>
      </c>
      <c r="N21" s="25">
        <f t="shared" si="26"/>
        <v>160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56" ht="15" thickBot="1" x14ac:dyDescent="0.35">
      <c r="C22" s="36"/>
      <c r="E22" s="120" t="s">
        <v>192</v>
      </c>
      <c r="F22" s="25"/>
      <c r="G22" s="25"/>
      <c r="H22" s="25"/>
      <c r="I22" s="25"/>
      <c r="J22" s="25"/>
      <c r="K22" s="25"/>
      <c r="L22" s="25"/>
      <c r="M22" s="25"/>
      <c r="N22" s="36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56" ht="15" thickBot="1" x14ac:dyDescent="0.35">
      <c r="E23" s="31" t="s">
        <v>158</v>
      </c>
      <c r="F23" s="25">
        <v>109</v>
      </c>
      <c r="G23" s="25">
        <v>107</v>
      </c>
      <c r="H23" s="25">
        <v>127</v>
      </c>
      <c r="I23" s="25">
        <v>117</v>
      </c>
      <c r="J23" s="25">
        <v>138</v>
      </c>
      <c r="K23" s="25">
        <v>132</v>
      </c>
      <c r="L23" s="25"/>
      <c r="M23" s="25"/>
      <c r="N23" s="96">
        <f>SUM(F23:M23)</f>
        <v>730</v>
      </c>
    </row>
    <row r="24" spans="1:56" x14ac:dyDescent="0.3">
      <c r="B24" t="s">
        <v>139</v>
      </c>
      <c r="BC24" s="85"/>
    </row>
    <row r="25" spans="1:56" x14ac:dyDescent="0.3">
      <c r="A25">
        <v>1</v>
      </c>
      <c r="B25" s="28" t="s">
        <v>47</v>
      </c>
      <c r="C25" s="29" t="str">
        <f>IF(B25="","",VLOOKUP(B25,Lookups!$A$2:$F$108,3,FALSE))</f>
        <v>B</v>
      </c>
      <c r="D25" s="30" t="str">
        <f>IF(B25="","",VLOOKUP(B25,Lookups!$A$2:$F$109,6,FALSE))</f>
        <v>Carisbrooke Raptors</v>
      </c>
      <c r="E25" s="29">
        <f>IFERROR(VLOOKUP(C25,Lookups!$K$11:$L$16,2,FALSE),"")</f>
        <v>3</v>
      </c>
      <c r="F25" s="25">
        <f>IF($B25="","",IF(VLOOKUP($B25,Scores!$A$2:$I$100,2,FALSE)=0,"",VLOOKUP($B25,Scores!$A$2:$I$100,2,FALSE)+IF(VLOOKUP($B25,Scores!$A$2:$I$100,2,FALSE)=MAX(Calculations!$N$6:$N$105),1,0)+$E25))</f>
        <v>31</v>
      </c>
      <c r="G25" s="25">
        <f>IF($B25="","",IF(VLOOKUP($B25,Scores!$A$2:$I$100,3,FALSE)=0,"",VLOOKUP($B25,Scores!$A$2:$I$100,3,FALSE)+IF(VLOOKUP($B25,Scores!$A$2:$I$100,3,FALSE)=MAX(Calculations!$O$6:$O$105),1,0)+$E25))</f>
        <v>29</v>
      </c>
      <c r="H25" s="25" t="str">
        <f>IF($B25="","",IF(VLOOKUP($B25,Scores!$A$2:$I$100,4,FALSE)=0,"",VLOOKUP($B25,Scores!$A$2:$I$100,4,FALSE)+IF(VLOOKUP($B25,Scores!$A$2:$I$100,4,FALSE)=MAX(Calculations!$P$6:$P$105),1,0)+$E25))</f>
        <v/>
      </c>
      <c r="I25" s="25">
        <f>IF($B25="","",IF(VLOOKUP($B25,Scores!$A$2:$I$100,5,FALSE)=0,"",VLOOKUP($B25,Scores!$A$2:$I$100,5,FALSE)+IF(VLOOKUP($B25,Scores!$A$2:$I$100,5,FALSE)=MAX(Calculations!$Q$6:$Q$105),1,0)+$E25))</f>
        <v>26</v>
      </c>
      <c r="J25" s="25" t="str">
        <f>IF($B25="","",IF(VLOOKUP($B25,Scores!$A$2:$I$100,6,FALSE)=0,"",VLOOKUP($B25,Scores!$A$2:$I$100,6,FALSE)+IF(VLOOKUP($B25,Scores!$A$2:$I$100,6,FALSE)=MAX(Calculations!$R$6:$R$105),1,0)+$E25))</f>
        <v/>
      </c>
      <c r="K25" s="25">
        <f>IF($B25="","",IF(VLOOKUP($B25,Scores!$A$2:$I$100,7,FALSE)=0,"",VLOOKUP($B25,Scores!$A$2:$I$100,7,FALSE)+IF(VLOOKUP($B25,Scores!$A$2:$I$100,7,FALSE)=MAX(Calculations!$S$6:$S$105),1,0)+$E25))</f>
        <v>34</v>
      </c>
      <c r="L25" s="25" t="str">
        <f>IF($B25="","",IF(VLOOKUP($B25,Scores!$A$2:$I$100,8,FALSE)=0,"",VLOOKUP($B25,Scores!$A$2:$I$100,8,FALSE)+IF(VLOOKUP($B25,Scores!$A$2:$I$100,8,FALSE)=MAX(Calculations!$T$6:$T$105),1,0)+$E25))</f>
        <v/>
      </c>
      <c r="M25" s="25" t="str">
        <f>IF($B25="","",IF(VLOOKUP($B25,Scores!$A$2:$I$100,9,FALSE)=0,"",VLOOKUP($B25,Scores!$A$2:$I$100,9,FALSE)+IF(VLOOKUP($B25,Scores!$A$2:$I$100,9,FALSE)=MAX(Calculations!$U$6:$U$105),1,0)+$E25))</f>
        <v/>
      </c>
      <c r="N25" s="27">
        <f>SUM(F25:M25)</f>
        <v>120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BC25" s="86"/>
    </row>
    <row r="26" spans="1:56" x14ac:dyDescent="0.3">
      <c r="A26">
        <v>2</v>
      </c>
      <c r="B26" s="28" t="s">
        <v>63</v>
      </c>
      <c r="C26" s="29" t="str">
        <f>IF(B26="","",VLOOKUP(B26,Lookups!$A$2:$F$108,3,FALSE))</f>
        <v>C</v>
      </c>
      <c r="D26" s="30" t="str">
        <f>IF(B26="","",VLOOKUP(B26,Lookups!$A$2:$F$109,6,FALSE))</f>
        <v>Carisbrooke Raptors</v>
      </c>
      <c r="E26" s="29">
        <f>IFERROR(VLOOKUP(C26,Lookups!$K$11:$L$16,2,FALSE),"")</f>
        <v>4</v>
      </c>
      <c r="F26" s="25">
        <f>IF($B26="","",IF(VLOOKUP($B26,Scores!$A$2:$I$100,2,FALSE)=0,"",VLOOKUP($B26,Scores!$A$2:$I$100,2,FALSE)+IF(VLOOKUP($B26,Scores!$A$2:$I$100,2,FALSE)=MAX(Calculations!$N$6:$N$105),1,0)+$E26))</f>
        <v>28</v>
      </c>
      <c r="G26" s="25">
        <f>IF($B26="","",IF(VLOOKUP($B26,Scores!$A$2:$I$100,3,FALSE)=0,"",VLOOKUP($B26,Scores!$A$2:$I$100,3,FALSE)+IF(VLOOKUP($B26,Scores!$A$2:$I$100,3,FALSE)=MAX(Calculations!$O$6:$O$105),1,0)+$E26))</f>
        <v>22</v>
      </c>
      <c r="H26" s="25" t="str">
        <f>IF($B26="","",IF(VLOOKUP($B26,Scores!$A$2:$I$100,4,FALSE)=0,"",VLOOKUP($B26,Scores!$A$2:$I$100,4,FALSE)+IF(VLOOKUP($B26,Scores!$A$2:$I$100,4,FALSE)=MAX(Calculations!$P$6:$P$105),1,0)+$E26))</f>
        <v/>
      </c>
      <c r="I26" s="25">
        <f>IF($B26="","",IF(VLOOKUP($B26,Scores!$A$2:$I$100,5,FALSE)=0,"",VLOOKUP($B26,Scores!$A$2:$I$100,5,FALSE)+IF(VLOOKUP($B26,Scores!$A$2:$I$100,5,FALSE)=MAX(Calculations!$Q$6:$Q$105),1,0)+$E26))</f>
        <v>23</v>
      </c>
      <c r="J26" s="25">
        <f>IF($B26="","",IF(VLOOKUP($B26,Scores!$A$2:$I$100,6,FALSE)=0,"",VLOOKUP($B26,Scores!$A$2:$I$100,6,FALSE)+IF(VLOOKUP($B26,Scores!$A$2:$I$100,6,FALSE)=MAX(Calculations!$R$6:$R$105),1,0)+$E26))</f>
        <v>30</v>
      </c>
      <c r="K26" s="25">
        <f>IF($B26="","",IF(VLOOKUP($B26,Scores!$A$2:$I$100,7,FALSE)=0,"",VLOOKUP($B26,Scores!$A$2:$I$100,7,FALSE)+IF(VLOOKUP($B26,Scores!$A$2:$I$100,7,FALSE)=MAX(Calculations!$S$6:$S$105),1,0)+$E26))</f>
        <v>28</v>
      </c>
      <c r="L26" s="25" t="str">
        <f>IF($B26="","",IF(VLOOKUP($B26,Scores!$A$2:$I$100,8,FALSE)=0,"",VLOOKUP($B26,Scores!$A$2:$I$100,8,FALSE)+IF(VLOOKUP($B26,Scores!$A$2:$I$100,8,FALSE)=MAX(Calculations!$T$6:$T$105),1,0)+$E26))</f>
        <v/>
      </c>
      <c r="M26" s="25" t="str">
        <f>IF($B26="","",IF(VLOOKUP($B26,Scores!$A$2:$I$100,9,FALSE)=0,"",VLOOKUP($B26,Scores!$A$2:$I$100,9,FALSE)+IF(VLOOKUP($B26,Scores!$A$2:$I$100,9,FALSE)=MAX(Calculations!$U$6:$U$105),1,0)+$E26))</f>
        <v/>
      </c>
      <c r="N26" s="27">
        <f t="shared" ref="N26:N30" si="27">SUM(F26:M26)</f>
        <v>131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BC26" s="86"/>
    </row>
    <row r="27" spans="1:56" x14ac:dyDescent="0.3">
      <c r="A27">
        <v>3</v>
      </c>
      <c r="B27" s="28" t="s">
        <v>68</v>
      </c>
      <c r="C27" s="29" t="str">
        <f>IF(B27="","",VLOOKUP(B27,Lookups!$A$2:$F$108,3,FALSE))</f>
        <v>A</v>
      </c>
      <c r="D27" s="30" t="str">
        <f>IF(B27="","",VLOOKUP(B27,Lookups!$A$2:$F$109,6,FALSE))</f>
        <v>Carisbrooke Raptors</v>
      </c>
      <c r="E27" s="29">
        <f>IFERROR(VLOOKUP(C27,Lookups!$K$11:$L$16,2,FALSE),"")</f>
        <v>1</v>
      </c>
      <c r="F27" s="25">
        <f>IF($B27="","",IF(VLOOKUP($B27,Scores!$A$2:$I$100,2,FALSE)=0,"",VLOOKUP($B27,Scores!$A$2:$I$100,2,FALSE)+IF(VLOOKUP($B27,Scores!$A$2:$I$100,2,FALSE)=MAX(Calculations!$N$6:$N$105),1,0)+$E27))</f>
        <v>28</v>
      </c>
      <c r="G27" s="25">
        <f>IF($B27="","",IF(VLOOKUP($B27,Scores!$A$2:$I$100,3,FALSE)=0,"",VLOOKUP($B27,Scores!$A$2:$I$100,3,FALSE)+IF(VLOOKUP($B27,Scores!$A$2:$I$100,3,FALSE)=MAX(Calculations!$O$6:$O$105),1,0)+$E27))</f>
        <v>27</v>
      </c>
      <c r="H27" s="25">
        <f>IF($B27="","",IF(VLOOKUP($B27,Scores!$A$2:$I$100,4,FALSE)=0,"",VLOOKUP($B27,Scores!$A$2:$I$100,4,FALSE)+IF(VLOOKUP($B27,Scores!$A$2:$I$100,4,FALSE)=MAX(Calculations!$P$6:$P$105),1,0)+$E27))</f>
        <v>28</v>
      </c>
      <c r="I27" s="25">
        <f>IF($B27="","",IF(VLOOKUP($B27,Scores!$A$2:$I$100,5,FALSE)=0,"",VLOOKUP($B27,Scores!$A$2:$I$100,5,FALSE)+IF(VLOOKUP($B27,Scores!$A$2:$I$100,5,FALSE)=MAX(Calculations!$Q$6:$Q$105),1,0)+$E27))</f>
        <v>24</v>
      </c>
      <c r="J27" s="25">
        <f>IF($B27="","",IF(VLOOKUP($B27,Scores!$A$2:$I$100,6,FALSE)=0,"",VLOOKUP($B27,Scores!$A$2:$I$100,6,FALSE)+IF(VLOOKUP($B27,Scores!$A$2:$I$100,6,FALSE)=MAX(Calculations!$R$6:$R$105),1,0)+$E27))</f>
        <v>22</v>
      </c>
      <c r="K27" s="25">
        <f>IF($B27="","",IF(VLOOKUP($B27,Scores!$A$2:$I$100,7,FALSE)=0,"",VLOOKUP($B27,Scores!$A$2:$I$100,7,FALSE)+IF(VLOOKUP($B27,Scores!$A$2:$I$100,7,FALSE)=MAX(Calculations!$S$6:$S$105),1,0)+$E27))</f>
        <v>29</v>
      </c>
      <c r="L27" s="25" t="str">
        <f>IF($B27="","",IF(VLOOKUP($B27,Scores!$A$2:$I$100,8,FALSE)=0,"",VLOOKUP($B27,Scores!$A$2:$I$100,8,FALSE)+IF(VLOOKUP($B27,Scores!$A$2:$I$100,8,FALSE)=MAX(Calculations!$T$6:$T$105),1,0)+$E27))</f>
        <v/>
      </c>
      <c r="M27" s="25" t="str">
        <f>IF($B27="","",IF(VLOOKUP($B27,Scores!$A$2:$I$100,9,FALSE)=0,"",VLOOKUP($B27,Scores!$A$2:$I$100,9,FALSE)+IF(VLOOKUP($B27,Scores!$A$2:$I$100,9,FALSE)=MAX(Calculations!$U$6:$U$105),1,0)+$E27))</f>
        <v/>
      </c>
      <c r="N27" s="27">
        <f t="shared" si="27"/>
        <v>158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BC27" s="87"/>
    </row>
    <row r="28" spans="1:56" x14ac:dyDescent="0.3">
      <c r="A28">
        <v>4</v>
      </c>
      <c r="B28" s="28" t="s">
        <v>69</v>
      </c>
      <c r="C28" s="29" t="str">
        <f>IF(B28="","",VLOOKUP(B28,Lookups!$A$2:$F$108,3,FALSE))</f>
        <v>U/G</v>
      </c>
      <c r="D28" s="30" t="str">
        <f>IF(B28="","",VLOOKUP(B28,Lookups!$A$2:$F$109,6,FALSE))</f>
        <v>Carisbrooke Raptors</v>
      </c>
      <c r="E28" s="29">
        <f>IFERROR(VLOOKUP(C28,Lookups!$K$11:$L$16,2,FALSE),"")</f>
        <v>0</v>
      </c>
      <c r="F28" s="25" t="str">
        <f>IF($B28="","",IF(VLOOKUP($B28,Scores!$A$2:$I$100,2,FALSE)=0,"",VLOOKUP($B28,Scores!$A$2:$I$100,2,FALSE)+IF(VLOOKUP($B28,Scores!$A$2:$I$100,2,FALSE)=MAX(Calculations!$N$6:$N$105),1,0)+$E28))</f>
        <v/>
      </c>
      <c r="G28" s="25" t="str">
        <f>IF($B28="","",IF(VLOOKUP($B28,Scores!$A$2:$I$100,3,FALSE)=0,"",VLOOKUP($B28,Scores!$A$2:$I$100,3,FALSE)+IF(VLOOKUP($B28,Scores!$A$2:$I$100,3,FALSE)=MAX(Calculations!$O$6:$O$105),1,0)+$E28))</f>
        <v/>
      </c>
      <c r="H28" s="25" t="str">
        <f>IF($B28="","",IF(VLOOKUP($B28,Scores!$A$2:$I$100,4,FALSE)=0,"",VLOOKUP($B28,Scores!$A$2:$I$100,4,FALSE)+IF(VLOOKUP($B28,Scores!$A$2:$I$100,4,FALSE)=MAX(Calculations!$P$6:$P$105),1,0)+$E28))</f>
        <v/>
      </c>
      <c r="I28" s="25" t="str">
        <f>IF($B28="","",IF(VLOOKUP($B28,Scores!$A$2:$I$100,5,FALSE)=0,"",VLOOKUP($B28,Scores!$A$2:$I$100,5,FALSE)+IF(VLOOKUP($B28,Scores!$A$2:$I$100,5,FALSE)=MAX(Calculations!$Q$6:$Q$105),1,0)+$E28))</f>
        <v/>
      </c>
      <c r="J28" s="25" t="str">
        <f>IF($B28="","",IF(VLOOKUP($B28,Scores!$A$2:$I$100,6,FALSE)=0,"",VLOOKUP($B28,Scores!$A$2:$I$100,6,FALSE)+IF(VLOOKUP($B28,Scores!$A$2:$I$100,6,FALSE)=MAX(Calculations!$R$6:$R$105),1,0)+$E28))</f>
        <v/>
      </c>
      <c r="K28" s="25" t="str">
        <f>IF($B28="","",IF(VLOOKUP($B28,Scores!$A$2:$I$100,7,FALSE)=0,"",VLOOKUP($B28,Scores!$A$2:$I$100,7,FALSE)+IF(VLOOKUP($B28,Scores!$A$2:$I$100,7,FALSE)=MAX(Calculations!$S$6:$S$105),1,0)+$E28))</f>
        <v/>
      </c>
      <c r="L28" s="25" t="str">
        <f>IF($B28="","",IF(VLOOKUP($B28,Scores!$A$2:$I$100,8,FALSE)=0,"",VLOOKUP($B28,Scores!$A$2:$I$100,8,FALSE)+IF(VLOOKUP($B28,Scores!$A$2:$I$100,8,FALSE)=MAX(Calculations!$T$6:$T$105),1,0)+$E28))</f>
        <v/>
      </c>
      <c r="M28" s="25" t="str">
        <f>IF($B28="","",IF(VLOOKUP($B28,Scores!$A$2:$I$100,9,FALSE)=0,"",VLOOKUP($B28,Scores!$A$2:$I$100,9,FALSE)+IF(VLOOKUP($B28,Scores!$A$2:$I$100,9,FALSE)=MAX(Calculations!$U$6:$U$105),1,0)+$E28))</f>
        <v/>
      </c>
      <c r="N28" s="27">
        <f t="shared" si="27"/>
        <v>0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BD28" s="86"/>
    </row>
    <row r="29" spans="1:56" x14ac:dyDescent="0.3">
      <c r="A29">
        <v>5</v>
      </c>
      <c r="B29" s="28" t="s">
        <v>28</v>
      </c>
      <c r="C29" s="29" t="str">
        <f>IF(B29="","",VLOOKUP(B29,Lookups!$A$2:$F$108,3,FALSE))</f>
        <v>AA</v>
      </c>
      <c r="D29" s="30" t="str">
        <f>IF(B29="","",VLOOKUP(B29,Lookups!$A$2:$F$109,6,FALSE))</f>
        <v>Carisbrooke Raptors</v>
      </c>
      <c r="E29" s="29">
        <f>IFERROR(VLOOKUP(C29,Lookups!$K$11:$L$16,2,FALSE),"")</f>
        <v>0</v>
      </c>
      <c r="F29" s="25">
        <f>IF($B29="","",IF(VLOOKUP($B29,Scores!$A$2:$I$100,2,FALSE)=0,"",VLOOKUP($B29,Scores!$A$2:$I$100,2,FALSE)+IF(VLOOKUP($B29,Scores!$A$2:$I$100,2,FALSE)=MAX(Calculations!$N$6:$N$105),1,0)+$E29))</f>
        <v>32</v>
      </c>
      <c r="G29" s="25" t="str">
        <f>IF($B29="","",IF(VLOOKUP($B29,Scores!$A$2:$I$100,3,FALSE)=0,"",VLOOKUP($B29,Scores!$A$2:$I$100,3,FALSE)+IF(VLOOKUP($B29,Scores!$A$2:$I$100,3,FALSE)=MAX(Calculations!$O$6:$O$105),1,0)+$E29))</f>
        <v/>
      </c>
      <c r="H29" s="25" t="str">
        <f>IF($B29="","",IF(VLOOKUP($B29,Scores!$A$2:$I$100,4,FALSE)=0,"",VLOOKUP($B29,Scores!$A$2:$I$100,4,FALSE)+IF(VLOOKUP($B29,Scores!$A$2:$I$100,4,FALSE)=MAX(Calculations!$P$6:$P$105),1,0)+$E29))</f>
        <v/>
      </c>
      <c r="I29" s="25" t="str">
        <f>IF($B29="","",IF(VLOOKUP($B29,Scores!$A$2:$I$100,5,FALSE)=0,"",VLOOKUP($B29,Scores!$A$2:$I$100,5,FALSE)+IF(VLOOKUP($B29,Scores!$A$2:$I$100,5,FALSE)=MAX(Calculations!$Q$6:$Q$105),1,0)+$E29))</f>
        <v/>
      </c>
      <c r="J29" s="25">
        <f>IF($B29="","",IF(VLOOKUP($B29,Scores!$A$2:$I$100,6,FALSE)=0,"",VLOOKUP($B29,Scores!$A$2:$I$100,6,FALSE)+IF(VLOOKUP($B29,Scores!$A$2:$I$100,6,FALSE)=MAX(Calculations!$R$6:$R$105),1,0)+$E29))</f>
        <v>33</v>
      </c>
      <c r="K29" s="25">
        <f>IF($B29="","",IF(VLOOKUP($B29,Scores!$A$2:$I$100,7,FALSE)=0,"",VLOOKUP($B29,Scores!$A$2:$I$100,7,FALSE)+IF(VLOOKUP($B29,Scores!$A$2:$I$100,7,FALSE)=MAX(Calculations!$S$6:$S$105),1,0)+$E29))</f>
        <v>34</v>
      </c>
      <c r="L29" s="25" t="str">
        <f>IF($B29="","",IF(VLOOKUP($B29,Scores!$A$2:$I$100,8,FALSE)=0,"",VLOOKUP($B29,Scores!$A$2:$I$100,8,FALSE)+IF(VLOOKUP($B29,Scores!$A$2:$I$100,8,FALSE)=MAX(Calculations!$T$6:$T$105),1,0)+$E29))</f>
        <v/>
      </c>
      <c r="M29" s="25" t="str">
        <f>IF($B29="","",IF(VLOOKUP($B29,Scores!$A$2:$I$100,9,FALSE)=0,"",VLOOKUP($B29,Scores!$A$2:$I$100,9,FALSE)+IF(VLOOKUP($B29,Scores!$A$2:$I$100,9,FALSE)=MAX(Calculations!$U$6:$U$105),1,0)+$E29))</f>
        <v/>
      </c>
      <c r="N29" s="27">
        <f t="shared" si="27"/>
        <v>99</v>
      </c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BD29" s="86"/>
    </row>
    <row r="30" spans="1:56" x14ac:dyDescent="0.3">
      <c r="A30">
        <v>6</v>
      </c>
      <c r="B30" s="28" t="s">
        <v>175</v>
      </c>
      <c r="C30" s="29" t="str">
        <f>IF(B30="","",VLOOKUP(B30,Lookups!$A$2:$F$108,3,FALSE))</f>
        <v>U/G</v>
      </c>
      <c r="D30" s="30" t="str">
        <f>IF(B30="","",VLOOKUP(B30,Lookups!$A$2:$F$109,6,FALSE))</f>
        <v>Carisbrooke Raptors</v>
      </c>
      <c r="E30" s="29">
        <f>IFERROR(VLOOKUP(C30,Lookups!$K$11:$L$16,2,FALSE),"")</f>
        <v>0</v>
      </c>
      <c r="F30" s="25" t="str">
        <f>IF($B30="","",IF(VLOOKUP($B30,Scores!$A$2:$I$100,2,FALSE)=0,"",VLOOKUP($B30,Scores!$A$2:$I$100,2,FALSE)+IF(VLOOKUP($B30,Scores!$A$2:$I$100,2,FALSE)=MAX(Calculations!$N$6:$N$105),1,0)+$E30))</f>
        <v/>
      </c>
      <c r="G30" s="25" t="str">
        <f>IF($B30="","",IF(VLOOKUP($B30,Scores!$A$2:$I$100,3,FALSE)=0,"",VLOOKUP($B30,Scores!$A$2:$I$100,3,FALSE)+IF(VLOOKUP($B30,Scores!$A$2:$I$100,3,FALSE)=MAX(Calculations!$O$6:$O$105),1,0)+$E30))</f>
        <v/>
      </c>
      <c r="H30" s="25" t="str">
        <f>IF($B30="","",IF(VLOOKUP($B30,Scores!$A$2:$I$100,4,FALSE)=0,"",VLOOKUP($B30,Scores!$A$2:$I$100,4,FALSE)+IF(VLOOKUP($B30,Scores!$A$2:$I$100,4,FALSE)=MAX(Calculations!$P$6:$P$105),1,0)+$E30))</f>
        <v/>
      </c>
      <c r="I30" s="25" t="str">
        <f>IF($B30="","",IF(VLOOKUP($B30,Scores!$A$2:$I$100,5,FALSE)=0,"",VLOOKUP($B30,Scores!$A$2:$I$100,5,FALSE)+IF(VLOOKUP($B30,Scores!$A$2:$I$100,5,FALSE)=MAX(Calculations!$Q$6:$Q$105),1,0)+$E30))</f>
        <v/>
      </c>
      <c r="J30" s="25" t="str">
        <f>IF($B30="","",IF(VLOOKUP($B30,Scores!$A$2:$I$100,6,FALSE)=0,"",VLOOKUP($B30,Scores!$A$2:$I$100,6,FALSE)+IF(VLOOKUP($B30,Scores!$A$2:$I$100,6,FALSE)=MAX(Calculations!$R$6:$R$105),1,0)+$E30))</f>
        <v/>
      </c>
      <c r="K30" s="25" t="str">
        <f>IF($B30="","",IF(VLOOKUP($B30,Scores!$A$2:$I$100,7,FALSE)=0,"",VLOOKUP($B30,Scores!$A$2:$I$100,7,FALSE)+IF(VLOOKUP($B30,Scores!$A$2:$I$100,7,FALSE)=MAX(Calculations!$S$6:$S$105),1,0)+$E30))</f>
        <v/>
      </c>
      <c r="L30" s="25" t="str">
        <f>IF($B30="","",IF(VLOOKUP($B30,Scores!$A$2:$I$100,8,FALSE)=0,"",VLOOKUP($B30,Scores!$A$2:$I$100,8,FALSE)+IF(VLOOKUP($B30,Scores!$A$2:$I$100,8,FALSE)=MAX(Calculations!$T$6:$T$105),1,0)+$E30))</f>
        <v/>
      </c>
      <c r="M30" s="25" t="str">
        <f>IF($B30="","",IF(VLOOKUP($B30,Scores!$A$2:$I$100,9,FALSE)=0,"",VLOOKUP($B30,Scores!$A$2:$I$100,9,FALSE)+IF(VLOOKUP($B30,Scores!$A$2:$I$100,9,FALSE)=MAX(Calculations!$U$6:$U$105),1,0)+$E30))</f>
        <v/>
      </c>
      <c r="N30" s="27">
        <f t="shared" si="27"/>
        <v>0</v>
      </c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BD30" s="86"/>
    </row>
    <row r="31" spans="1:56" ht="15" thickBot="1" x14ac:dyDescent="0.35">
      <c r="C31" s="36"/>
      <c r="E31" s="120" t="s">
        <v>192</v>
      </c>
      <c r="F31" s="25"/>
      <c r="G31" s="25">
        <v>22</v>
      </c>
      <c r="H31" s="25">
        <v>25</v>
      </c>
      <c r="I31" s="25">
        <v>23</v>
      </c>
      <c r="J31" s="25">
        <v>22</v>
      </c>
      <c r="K31" s="25"/>
      <c r="L31" s="25"/>
      <c r="M31" s="25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D31" s="86"/>
    </row>
    <row r="32" spans="1:56" ht="15" thickBot="1" x14ac:dyDescent="0.35">
      <c r="E32" s="31" t="s">
        <v>159</v>
      </c>
      <c r="F32" s="25">
        <v>118</v>
      </c>
      <c r="G32" s="25">
        <v>99</v>
      </c>
      <c r="H32" s="25">
        <v>53</v>
      </c>
      <c r="I32" s="25">
        <v>96</v>
      </c>
      <c r="J32" s="25">
        <v>107</v>
      </c>
      <c r="K32" s="25">
        <v>125</v>
      </c>
      <c r="L32" s="25"/>
      <c r="M32" s="25"/>
      <c r="N32" s="98">
        <f>SUM(F32:M32)</f>
        <v>598</v>
      </c>
      <c r="BD32" s="86"/>
    </row>
    <row r="33" spans="1:56" x14ac:dyDescent="0.3">
      <c r="B33" t="s">
        <v>140</v>
      </c>
      <c r="BD33" s="88"/>
    </row>
    <row r="34" spans="1:56" x14ac:dyDescent="0.3">
      <c r="A34">
        <v>1</v>
      </c>
      <c r="B34" s="28" t="s">
        <v>37</v>
      </c>
      <c r="C34" s="29" t="str">
        <f>IF(B34="","",VLOOKUP(B34,Lookups!$A$2:$F$108,3,FALSE))</f>
        <v>AA</v>
      </c>
      <c r="D34" s="30" t="str">
        <f>IF(B34="","",VLOOKUP(B34,Lookups!$A$2:$F$109,6,FALSE))</f>
        <v>Buccaneers</v>
      </c>
      <c r="E34" s="29">
        <f>IFERROR(VLOOKUP(C34,Lookups!$K$11:$L$16,2,FALSE),"")</f>
        <v>0</v>
      </c>
      <c r="F34" s="25">
        <f>IF($B34="","",IF(VLOOKUP($B34,Scores!$A$2:$I$100,2,FALSE)=0,"",VLOOKUP($B34,Scores!$A$2:$I$100,2,FALSE)+IF(VLOOKUP($B34,Scores!$A$2:$I$100,2,FALSE)=MAX(Calculations!$N$6:$N$105),1,0)+$E34))</f>
        <v>36</v>
      </c>
      <c r="G34" s="25">
        <f>IF($B34="","",IF(VLOOKUP($B34,Scores!$A$2:$I$100,3,FALSE)=0,"",VLOOKUP($B34,Scores!$A$2:$I$100,3,FALSE)+IF(VLOOKUP($B34,Scores!$A$2:$I$100,3,FALSE)=MAX(Calculations!$O$6:$O$105),1,0)+$E34))</f>
        <v>28</v>
      </c>
      <c r="H34" s="25">
        <f>IF($B34="","",IF(VLOOKUP($B34,Scores!$A$2:$I$100,4,FALSE)=0,"",VLOOKUP($B34,Scores!$A$2:$I$100,4,FALSE)+IF(VLOOKUP($B34,Scores!$A$2:$I$100,4,FALSE)=MAX(Calculations!$P$6:$P$105),1,0)+$E34))</f>
        <v>33</v>
      </c>
      <c r="I34" s="25" t="str">
        <f>IF($B34="","",IF(VLOOKUP($B34,Scores!$A$2:$I$100,5,FALSE)=0,"",VLOOKUP($B34,Scores!$A$2:$I$100,5,FALSE)+IF(VLOOKUP($B34,Scores!$A$2:$I$100,5,FALSE)=MAX(Calculations!$Q$6:$Q$105),1,0)+$E34))</f>
        <v/>
      </c>
      <c r="J34" s="25">
        <f>IF($B34="","",IF(VLOOKUP($B34,Scores!$A$2:$I$100,6,FALSE)=0,"",VLOOKUP($B34,Scores!$A$2:$I$100,6,FALSE)+IF(VLOOKUP($B34,Scores!$A$2:$I$100,6,FALSE)=MAX(Calculations!$R$6:$R$105),1,0)+$E34))</f>
        <v>34</v>
      </c>
      <c r="K34" s="25">
        <f>IF($B34="","",IF(VLOOKUP($B34,Scores!$A$2:$I$100,7,FALSE)=0,"",VLOOKUP($B34,Scores!$A$2:$I$100,7,FALSE)+IF(VLOOKUP($B34,Scores!$A$2:$I$100,7,FALSE)=MAX(Calculations!$S$6:$S$105),1,0)+$E34))</f>
        <v>34</v>
      </c>
      <c r="L34" s="25" t="str">
        <f>IF($B34="","",IF(VLOOKUP($B34,Scores!$A$2:$I$100,8,FALSE)=0,"",VLOOKUP($B34,Scores!$A$2:$I$100,8,FALSE)+IF(VLOOKUP($B34,Scores!$A$2:$I$100,8,FALSE)=MAX(Calculations!$T$6:$T$105),1,0)+$E34))</f>
        <v/>
      </c>
      <c r="M34" s="25" t="str">
        <f>IF($B34="","",IF(VLOOKUP($B34,Scores!$A$2:$I$100,9,FALSE)=0,"",VLOOKUP($B34,Scores!$A$2:$I$100,9,FALSE)+IF(VLOOKUP($B34,Scores!$A$2:$I$100,9,FALSE)=MAX(Calculations!$U$6:$U$105),1,0)+$E34))</f>
        <v/>
      </c>
      <c r="N34" s="27">
        <f>SUM(F34:M34)</f>
        <v>165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56" x14ac:dyDescent="0.3">
      <c r="A35">
        <v>2</v>
      </c>
      <c r="B35" s="28" t="s">
        <v>23</v>
      </c>
      <c r="C35" s="29" t="str">
        <f>IF(B35="","",VLOOKUP(B35,Lookups!$A$2:$F$108,3,FALSE))</f>
        <v>A</v>
      </c>
      <c r="D35" s="30" t="str">
        <f>IF(B35="","",VLOOKUP(B35,Lookups!$A$2:$F$109,6,FALSE))</f>
        <v>Buccaneers</v>
      </c>
      <c r="E35" s="29">
        <f>IFERROR(VLOOKUP(C35,Lookups!$K$11:$L$16,2,FALSE),"")</f>
        <v>1</v>
      </c>
      <c r="F35" s="25" t="str">
        <f>IF($B35="","",IF(VLOOKUP($B35,Scores!$A$2:$I$100,2,FALSE)=0,"",VLOOKUP($B35,Scores!$A$2:$I$100,2,FALSE)+IF(VLOOKUP($B35,Scores!$A$2:$I$100,2,FALSE)=MAX(Calculations!$N$6:$N$105),1,0)+$E35))</f>
        <v/>
      </c>
      <c r="G35" s="25">
        <f>IF($B35="","",IF(VLOOKUP($B35,Scores!$A$2:$I$100,3,FALSE)=0,"",VLOOKUP($B35,Scores!$A$2:$I$100,3,FALSE)+IF(VLOOKUP($B35,Scores!$A$2:$I$100,3,FALSE)=MAX(Calculations!$O$6:$O$105),1,0)+$E35))</f>
        <v>18</v>
      </c>
      <c r="H35" s="25">
        <f>IF($B35="","",IF(VLOOKUP($B35,Scores!$A$2:$I$100,4,FALSE)=0,"",VLOOKUP($B35,Scores!$A$2:$I$100,4,FALSE)+IF(VLOOKUP($B35,Scores!$A$2:$I$100,4,FALSE)=MAX(Calculations!$P$6:$P$105),1,0)+$E35))</f>
        <v>32</v>
      </c>
      <c r="I35" s="25">
        <f>IF($B35="","",IF(VLOOKUP($B35,Scores!$A$2:$I$100,5,FALSE)=0,"",VLOOKUP($B35,Scores!$A$2:$I$100,5,FALSE)+IF(VLOOKUP($B35,Scores!$A$2:$I$100,5,FALSE)=MAX(Calculations!$Q$6:$Q$105),1,0)+$E35))</f>
        <v>28</v>
      </c>
      <c r="J35" s="25" t="str">
        <f>IF($B35="","",IF(VLOOKUP($B35,Scores!$A$2:$I$100,6,FALSE)=0,"",VLOOKUP($B35,Scores!$A$2:$I$100,6,FALSE)+IF(VLOOKUP($B35,Scores!$A$2:$I$100,6,FALSE)=MAX(Calculations!$R$6:$R$105),1,0)+$E35))</f>
        <v/>
      </c>
      <c r="K35" s="25">
        <f>IF($B35="","",IF(VLOOKUP($B35,Scores!$A$2:$I$100,7,FALSE)=0,"",VLOOKUP($B35,Scores!$A$2:$I$100,7,FALSE)+IF(VLOOKUP($B35,Scores!$A$2:$I$100,7,FALSE)=MAX(Calculations!$S$6:$S$105),1,0)+$E35))</f>
        <v>33</v>
      </c>
      <c r="L35" s="25" t="str">
        <f>IF($B35="","",IF(VLOOKUP($B35,Scores!$A$2:$I$100,8,FALSE)=0,"",VLOOKUP($B35,Scores!$A$2:$I$100,8,FALSE)+IF(VLOOKUP($B35,Scores!$A$2:$I$100,8,FALSE)=MAX(Calculations!$T$6:$T$105),1,0)+$E35))</f>
        <v/>
      </c>
      <c r="M35" s="25" t="str">
        <f>IF($B35="","",IF(VLOOKUP($B35,Scores!$A$2:$I$100,9,FALSE)=0,"",VLOOKUP($B35,Scores!$A$2:$I$100,9,FALSE)+IF(VLOOKUP($B35,Scores!$A$2:$I$100,9,FALSE)=MAX(Calculations!$U$6:$U$105),1,0)+$E35))</f>
        <v/>
      </c>
      <c r="N35" s="27">
        <f t="shared" ref="N35:N39" si="28">SUM(F35:M35)</f>
        <v>111</v>
      </c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56" x14ac:dyDescent="0.3">
      <c r="A36">
        <v>3</v>
      </c>
      <c r="B36" s="28" t="s">
        <v>60</v>
      </c>
      <c r="C36" s="29" t="str">
        <f>IF(B36="","",VLOOKUP(B36,Lookups!$A$2:$F$108,3,FALSE))</f>
        <v>C</v>
      </c>
      <c r="D36" s="30" t="str">
        <f>IF(B36="","",VLOOKUP(B36,Lookups!$A$2:$F$109,6,FALSE))</f>
        <v>Buccaneers</v>
      </c>
      <c r="E36" s="29">
        <f>IFERROR(VLOOKUP(C36,Lookups!$K$11:$L$16,2,FALSE),"")</f>
        <v>4</v>
      </c>
      <c r="F36" s="25">
        <f>IF($B36="","",IF(VLOOKUP($B36,Scores!$A$2:$I$100,2,FALSE)=0,"",VLOOKUP($B36,Scores!$A$2:$I$100,2,FALSE)+IF(VLOOKUP($B36,Scores!$A$2:$I$100,2,FALSE)=MAX(Calculations!$N$6:$N$105),1,0)+$E36))</f>
        <v>36</v>
      </c>
      <c r="G36" s="25">
        <f>IF($B36="","",IF(VLOOKUP($B36,Scores!$A$2:$I$100,3,FALSE)=0,"",VLOOKUP($B36,Scores!$A$2:$I$100,3,FALSE)+IF(VLOOKUP($B36,Scores!$A$2:$I$100,3,FALSE)=MAX(Calculations!$O$6:$O$105),1,0)+$E36))</f>
        <v>24</v>
      </c>
      <c r="H36" s="25">
        <f>IF($B36="","",IF(VLOOKUP($B36,Scores!$A$2:$I$100,4,FALSE)=0,"",VLOOKUP($B36,Scores!$A$2:$I$100,4,FALSE)+IF(VLOOKUP($B36,Scores!$A$2:$I$100,4,FALSE)=MAX(Calculations!$P$6:$P$105),1,0)+$E36))</f>
        <v>32</v>
      </c>
      <c r="I36" s="25" t="str">
        <f>IF($B36="","",IF(VLOOKUP($B36,Scores!$A$2:$I$100,5,FALSE)=0,"",VLOOKUP($B36,Scores!$A$2:$I$100,5,FALSE)+IF(VLOOKUP($B36,Scores!$A$2:$I$100,5,FALSE)=MAX(Calculations!$Q$6:$Q$105),1,0)+$E36))</f>
        <v/>
      </c>
      <c r="J36" s="25">
        <f>IF($B36="","",IF(VLOOKUP($B36,Scores!$A$2:$I$100,6,FALSE)=0,"",VLOOKUP($B36,Scores!$A$2:$I$100,6,FALSE)+IF(VLOOKUP($B36,Scores!$A$2:$I$100,6,FALSE)=MAX(Calculations!$R$6:$R$105),1,0)+$E36))</f>
        <v>26</v>
      </c>
      <c r="K36" s="25">
        <f>IF($B36="","",IF(VLOOKUP($B36,Scores!$A$2:$I$100,7,FALSE)=0,"",VLOOKUP($B36,Scores!$A$2:$I$100,7,FALSE)+IF(VLOOKUP($B36,Scores!$A$2:$I$100,7,FALSE)=MAX(Calculations!$S$6:$S$105),1,0)+$E36))</f>
        <v>31</v>
      </c>
      <c r="L36" s="25" t="str">
        <f>IF($B36="","",IF(VLOOKUP($B36,Scores!$A$2:$I$100,8,FALSE)=0,"",VLOOKUP($B36,Scores!$A$2:$I$100,8,FALSE)+IF(VLOOKUP($B36,Scores!$A$2:$I$100,8,FALSE)=MAX(Calculations!$T$6:$T$105),1,0)+$E36))</f>
        <v/>
      </c>
      <c r="M36" s="25" t="str">
        <f>IF($B36="","",IF(VLOOKUP($B36,Scores!$A$2:$I$100,9,FALSE)=0,"",VLOOKUP($B36,Scores!$A$2:$I$100,9,FALSE)+IF(VLOOKUP($B36,Scores!$A$2:$I$100,9,FALSE)=MAX(Calculations!$U$6:$U$105),1,0)+$E36))</f>
        <v/>
      </c>
      <c r="N36" s="27">
        <f t="shared" si="28"/>
        <v>149</v>
      </c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56" x14ac:dyDescent="0.3">
      <c r="A37">
        <v>4</v>
      </c>
      <c r="B37" s="28" t="s">
        <v>56</v>
      </c>
      <c r="C37" s="29" t="str">
        <f>IF(B37="","",VLOOKUP(B37,Lookups!$A$2:$F$108,3,FALSE))</f>
        <v>B</v>
      </c>
      <c r="D37" s="30" t="str">
        <f>IF(B37="","",VLOOKUP(B37,Lookups!$A$2:$F$109,6,FALSE))</f>
        <v>Buccaneers</v>
      </c>
      <c r="E37" s="29">
        <f>IFERROR(VLOOKUP(C37,Lookups!$K$11:$L$16,2,FALSE),"")</f>
        <v>3</v>
      </c>
      <c r="F37" s="25">
        <f>IF($B37="","",IF(VLOOKUP($B37,Scores!$A$2:$I$100,2,FALSE)=0,"",VLOOKUP($B37,Scores!$A$2:$I$100,2,FALSE)+IF(VLOOKUP($B37,Scores!$A$2:$I$100,2,FALSE)=MAX(Calculations!$N$6:$N$105),1,0)+$E37))</f>
        <v>33</v>
      </c>
      <c r="G37" s="25">
        <f>IF($B37="","",IF(VLOOKUP($B37,Scores!$A$2:$I$100,3,FALSE)=0,"",VLOOKUP($B37,Scores!$A$2:$I$100,3,FALSE)+IF(VLOOKUP($B37,Scores!$A$2:$I$100,3,FALSE)=MAX(Calculations!$O$6:$O$105),1,0)+$E37))</f>
        <v>25</v>
      </c>
      <c r="H37" s="25">
        <f>IF($B37="","",IF(VLOOKUP($B37,Scores!$A$2:$I$100,4,FALSE)=0,"",VLOOKUP($B37,Scores!$A$2:$I$100,4,FALSE)+IF(VLOOKUP($B37,Scores!$A$2:$I$100,4,FALSE)=MAX(Calculations!$P$6:$P$105),1,0)+$E37))</f>
        <v>32</v>
      </c>
      <c r="I37" s="25">
        <f>IF($B37="","",IF(VLOOKUP($B37,Scores!$A$2:$I$100,5,FALSE)=0,"",VLOOKUP($B37,Scores!$A$2:$I$100,5,FALSE)+IF(VLOOKUP($B37,Scores!$A$2:$I$100,5,FALSE)=MAX(Calculations!$Q$6:$Q$105),1,0)+$E37))</f>
        <v>29</v>
      </c>
      <c r="J37" s="25">
        <f>IF($B37="","",IF(VLOOKUP($B37,Scores!$A$2:$I$100,6,FALSE)=0,"",VLOOKUP($B37,Scores!$A$2:$I$100,6,FALSE)+IF(VLOOKUP($B37,Scores!$A$2:$I$100,6,FALSE)=MAX(Calculations!$R$6:$R$105),1,0)+$E37))</f>
        <v>25</v>
      </c>
      <c r="K37" s="25">
        <f>IF($B37="","",IF(VLOOKUP($B37,Scores!$A$2:$I$100,7,FALSE)=0,"",VLOOKUP($B37,Scores!$A$2:$I$100,7,FALSE)+IF(VLOOKUP($B37,Scores!$A$2:$I$100,7,FALSE)=MAX(Calculations!$S$6:$S$105),1,0)+$E37))</f>
        <v>23</v>
      </c>
      <c r="L37" s="25" t="str">
        <f>IF($B37="","",IF(VLOOKUP($B37,Scores!$A$2:$I$100,8,FALSE)=0,"",VLOOKUP($B37,Scores!$A$2:$I$100,8,FALSE)+IF(VLOOKUP($B37,Scores!$A$2:$I$100,8,FALSE)=MAX(Calculations!$T$6:$T$105),1,0)+$E37))</f>
        <v/>
      </c>
      <c r="M37" s="25" t="str">
        <f>IF($B37="","",IF(VLOOKUP($B37,Scores!$A$2:$I$100,9,FALSE)=0,"",VLOOKUP($B37,Scores!$A$2:$I$100,9,FALSE)+IF(VLOOKUP($B37,Scores!$A$2:$I$100,9,FALSE)=MAX(Calculations!$U$6:$U$105),1,0)+$E37))</f>
        <v/>
      </c>
      <c r="N37" s="27">
        <f t="shared" si="28"/>
        <v>167</v>
      </c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56" x14ac:dyDescent="0.3">
      <c r="A38">
        <v>5</v>
      </c>
      <c r="B38" s="28" t="s">
        <v>49</v>
      </c>
      <c r="C38" s="29" t="str">
        <f>IF(B38="","",VLOOKUP(B38,Lookups!$A$2:$F$108,3,FALSE))</f>
        <v>B</v>
      </c>
      <c r="D38" s="30" t="str">
        <f>IF(B38="","",VLOOKUP(B38,Lookups!$A$2:$F$109,6,FALSE))</f>
        <v>Buccaneers</v>
      </c>
      <c r="E38" s="29">
        <f>IFERROR(VLOOKUP(C38,Lookups!$K$11:$L$16,2,FALSE),"")</f>
        <v>3</v>
      </c>
      <c r="F38" s="25">
        <f>IF($B38="","",IF(VLOOKUP($B38,Scores!$A$2:$I$100,2,FALSE)=0,"",VLOOKUP($B38,Scores!$A$2:$I$100,2,FALSE)+IF(VLOOKUP($B38,Scores!$A$2:$I$100,2,FALSE)=MAX(Calculations!$N$6:$N$105),1,0)+$E38))</f>
        <v>26</v>
      </c>
      <c r="G38" s="25" t="str">
        <f>IF($B38="","",IF(VLOOKUP($B38,Scores!$A$2:$I$100,3,FALSE)=0,"",VLOOKUP($B38,Scores!$A$2:$I$100,3,FALSE)+IF(VLOOKUP($B38,Scores!$A$2:$I$100,3,FALSE)=MAX(Calculations!$O$6:$O$105),1,0)+$E38))</f>
        <v/>
      </c>
      <c r="H38" s="25" t="str">
        <f>IF($B38="","",IF(VLOOKUP($B38,Scores!$A$2:$I$100,4,FALSE)=0,"",VLOOKUP($B38,Scores!$A$2:$I$100,4,FALSE)+IF(VLOOKUP($B38,Scores!$A$2:$I$100,4,FALSE)=MAX(Calculations!$P$6:$P$105),1,0)+$E38))</f>
        <v/>
      </c>
      <c r="I38" s="25" t="str">
        <f>IF($B38="","",IF(VLOOKUP($B38,Scores!$A$2:$I$100,5,FALSE)=0,"",VLOOKUP($B38,Scores!$A$2:$I$100,5,FALSE)+IF(VLOOKUP($B38,Scores!$A$2:$I$100,5,FALSE)=MAX(Calculations!$Q$6:$Q$105),1,0)+$E38))</f>
        <v/>
      </c>
      <c r="J38" s="25" t="str">
        <f>IF($B38="","",IF(VLOOKUP($B38,Scores!$A$2:$I$100,6,FALSE)=0,"",VLOOKUP($B38,Scores!$A$2:$I$100,6,FALSE)+IF(VLOOKUP($B38,Scores!$A$2:$I$100,6,FALSE)=MAX(Calculations!$R$6:$R$105),1,0)+$E38))</f>
        <v/>
      </c>
      <c r="K38" s="25" t="str">
        <f>IF($B38="","",IF(VLOOKUP($B38,Scores!$A$2:$I$100,7,FALSE)=0,"",VLOOKUP($B38,Scores!$A$2:$I$100,7,FALSE)+IF(VLOOKUP($B38,Scores!$A$2:$I$100,7,FALSE)=MAX(Calculations!$S$6:$S$105),1,0)+$E38))</f>
        <v/>
      </c>
      <c r="L38" s="25" t="str">
        <f>IF($B38="","",IF(VLOOKUP($B38,Scores!$A$2:$I$100,8,FALSE)=0,"",VLOOKUP($B38,Scores!$A$2:$I$100,8,FALSE)+IF(VLOOKUP($B38,Scores!$A$2:$I$100,8,FALSE)=MAX(Calculations!$T$6:$T$105),1,0)+$E38))</f>
        <v/>
      </c>
      <c r="M38" s="25" t="str">
        <f>IF($B38="","",IF(VLOOKUP($B38,Scores!$A$2:$I$100,9,FALSE)=0,"",VLOOKUP($B38,Scores!$A$2:$I$100,9,FALSE)+IF(VLOOKUP($B38,Scores!$A$2:$I$100,9,FALSE)=MAX(Calculations!$U$6:$U$105),1,0)+$E38))</f>
        <v/>
      </c>
      <c r="N38" s="27">
        <f t="shared" si="28"/>
        <v>26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56" hidden="1" x14ac:dyDescent="0.3">
      <c r="A39">
        <v>6</v>
      </c>
      <c r="B39" s="28"/>
      <c r="C39" s="29" t="str">
        <f>IF(B39="","",VLOOKUP(B39,Lookups!$A$2:$F$108,3,FALSE))</f>
        <v/>
      </c>
      <c r="D39" s="30" t="str">
        <f>IF(B39="","",VLOOKUP(B39,Lookups!$A$2:$F$109,6,FALSE))</f>
        <v/>
      </c>
      <c r="E39" s="29" t="str">
        <f>IFERROR(VLOOKUP(C39,Lookups!$K$11:$L$16,2,FALSE),"")</f>
        <v/>
      </c>
      <c r="F39" s="25" t="str">
        <f>IF($B39="","",IF(VLOOKUP($B39,Scores!$A$2:$I$100,2,FALSE)=0,"",VLOOKUP($B39,Scores!$A$2:$I$100,2,FALSE)+IF(VLOOKUP($B39,Scores!$A$2:$I$100,2,FALSE)=MAX(Calculations!$N$6:$N$105),1,0)+$E39))</f>
        <v/>
      </c>
      <c r="G39" s="25" t="str">
        <f>IF($B39="","",IF(VLOOKUP($B39,Scores!$A$2:$I$100,3,FALSE)=0,"",VLOOKUP($B39,Scores!$A$2:$I$100,3,FALSE)+IF(VLOOKUP($B39,Scores!$A$2:$I$100,3,FALSE)=MAX(Calculations!$O$6:$O$105),1,0)+$E39))</f>
        <v/>
      </c>
      <c r="H39" s="25" t="str">
        <f>IF($B39="","",IF(VLOOKUP($B39,Scores!$A$2:$I$100,4,FALSE)=0,"",VLOOKUP($B39,Scores!$A$2:$I$100,4,FALSE)+IF(VLOOKUP($B39,Scores!$A$2:$I$100,4,FALSE)=MAX(Calculations!$P$6:$P$105),1,0)+$E39))</f>
        <v/>
      </c>
      <c r="I39" s="25" t="str">
        <f>IF($B39="","",IF(VLOOKUP($B39,Scores!$A$2:$I$100,5,FALSE)=0,"",VLOOKUP($B39,Scores!$A$2:$I$100,5,FALSE)+IF(VLOOKUP($B39,Scores!$A$2:$I$100,5,FALSE)=MAX(Calculations!$Q$6:$Q$105),1,0)+$E39))</f>
        <v/>
      </c>
      <c r="J39" s="25" t="str">
        <f>IF($B39="","",IF(VLOOKUP($B39,Scores!$A$2:$I$100,6,FALSE)=0,"",VLOOKUP($B39,Scores!$A$2:$I$100,6,FALSE)+IF(VLOOKUP($B39,Scores!$A$2:$I$100,6,FALSE)=MAX(Calculations!$R$6:$R$105),1,0)+$E39))</f>
        <v/>
      </c>
      <c r="K39" s="25" t="str">
        <f>IF($B39="","",IF(VLOOKUP($B39,Scores!$A$2:$I$100,7,FALSE)=0,"",VLOOKUP($B39,Scores!$A$2:$I$100,7,FALSE)+IF(VLOOKUP($B39,Scores!$A$2:$I$100,7,FALSE)=MAX(Calculations!$S$6:$S$105),1,0)+$E39))</f>
        <v/>
      </c>
      <c r="L39" s="25" t="str">
        <f>IF($B39="","",IF(VLOOKUP($B39,Scores!$A$2:$I$100,8,FALSE)=0,"",VLOOKUP($B39,Scores!$A$2:$I$100,8,FALSE)+IF(VLOOKUP($B39,Scores!$A$2:$I$100,8,FALSE)=MAX(Calculations!$T$6:$T$105),1,0)+$E39))</f>
        <v/>
      </c>
      <c r="M39" s="25" t="str">
        <f>IF($B39="","",IF(VLOOKUP($B39,Scores!$A$2:$I$100,9,FALSE)=0,"",VLOOKUP($B39,Scores!$A$2:$I$100,9,FALSE)+IF(VLOOKUP($B39,Scores!$A$2:$I$100,9,FALSE)=MAX(Calculations!$U$6:$U$105),1,0)+$E39))</f>
        <v/>
      </c>
      <c r="N39" s="27">
        <f t="shared" si="28"/>
        <v>0</v>
      </c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56" ht="15" thickBot="1" x14ac:dyDescent="0.35">
      <c r="C40" s="36"/>
      <c r="E40" s="120" t="s">
        <v>192</v>
      </c>
      <c r="F40" s="25"/>
      <c r="G40" s="25"/>
      <c r="H40" s="25"/>
      <c r="I40" s="25">
        <v>28</v>
      </c>
      <c r="J40" s="25">
        <v>25</v>
      </c>
      <c r="K40" s="25"/>
      <c r="L40" s="25"/>
      <c r="M40" s="25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56" ht="15" thickBot="1" x14ac:dyDescent="0.35">
      <c r="E41" s="31" t="s">
        <v>24</v>
      </c>
      <c r="F41" s="25">
        <v>131</v>
      </c>
      <c r="G41" s="25">
        <v>95</v>
      </c>
      <c r="H41" s="25">
        <v>129</v>
      </c>
      <c r="I41" s="25">
        <v>85</v>
      </c>
      <c r="J41" s="25">
        <v>110</v>
      </c>
      <c r="K41" s="25">
        <v>121</v>
      </c>
      <c r="L41" s="25"/>
      <c r="M41" s="25"/>
      <c r="N41" s="98">
        <f>SUM(F41:M41)</f>
        <v>671</v>
      </c>
    </row>
    <row r="42" spans="1:56" x14ac:dyDescent="0.3">
      <c r="B42" t="s">
        <v>141</v>
      </c>
    </row>
    <row r="43" spans="1:56" x14ac:dyDescent="0.3">
      <c r="A43">
        <v>1</v>
      </c>
      <c r="B43" s="28" t="s">
        <v>34</v>
      </c>
      <c r="C43" s="29" t="str">
        <f>IF(B43="","",VLOOKUP(B43,Lookups!$A$2:$F$108,3,FALSE))</f>
        <v>AA</v>
      </c>
      <c r="D43" s="30" t="str">
        <f>IF(B43="","",VLOOKUP(B43,Lookups!$A$2:$F$109,6,FALSE))</f>
        <v>Meon</v>
      </c>
      <c r="E43" s="29">
        <f>IFERROR(VLOOKUP(C43,Lookups!$K$11:$L$16,2,FALSE),"")</f>
        <v>0</v>
      </c>
      <c r="F43" s="25">
        <f>IF($B43="","",IF(VLOOKUP($B43,Scores!$A$2:$I$100,2,FALSE)=0,"",VLOOKUP($B43,Scores!$A$2:$I$100,2,FALSE)+IF(VLOOKUP($B43,Scores!$A$2:$I$100,2,FALSE)=MAX(Calculations!$N$6:$N$105),1,0)+$E43))</f>
        <v>36</v>
      </c>
      <c r="G43" s="25">
        <f>IF($B43="","",IF(VLOOKUP($B43,Scores!$A$2:$I$100,3,FALSE)=0,"",VLOOKUP($B43,Scores!$A$2:$I$100,3,FALSE)+IF(VLOOKUP($B43,Scores!$A$2:$I$100,3,FALSE)=MAX(Calculations!$O$6:$O$105),1,0)+$E43))</f>
        <v>29</v>
      </c>
      <c r="H43" s="25" t="str">
        <f>IF($B43="","",IF(VLOOKUP($B43,Scores!$A$2:$I$100,4,FALSE)=0,"",VLOOKUP($B43,Scores!$A$2:$I$100,4,FALSE)+IF(VLOOKUP($B43,Scores!$A$2:$I$100,4,FALSE)=MAX(Calculations!$P$6:$P$105),1,0)+$E43))</f>
        <v/>
      </c>
      <c r="I43" s="25">
        <f>IF($B43="","",IF(VLOOKUP($B43,Scores!$A$2:$I$100,5,FALSE)=0,"",VLOOKUP($B43,Scores!$A$2:$I$100,5,FALSE)+IF(VLOOKUP($B43,Scores!$A$2:$I$100,5,FALSE)=MAX(Calculations!$Q$6:$Q$105),1,0)+$E43))</f>
        <v>37</v>
      </c>
      <c r="J43" s="25">
        <f>IF($B43="","",IF(VLOOKUP($B43,Scores!$A$2:$I$100,6,FALSE)=0,"",VLOOKUP($B43,Scores!$A$2:$I$100,6,FALSE)+IF(VLOOKUP($B43,Scores!$A$2:$I$100,6,FALSE)=MAX(Calculations!$R$6:$R$105),1,0)+$E43))</f>
        <v>39</v>
      </c>
      <c r="K43" s="25">
        <f>IF($B43="","",IF(VLOOKUP($B43,Scores!$A$2:$I$100,7,FALSE)=0,"",VLOOKUP($B43,Scores!$A$2:$I$100,7,FALSE)+IF(VLOOKUP($B43,Scores!$A$2:$I$100,7,FALSE)=MAX(Calculations!$S$6:$S$105),1,0)+$E43))</f>
        <v>38</v>
      </c>
      <c r="L43" s="25" t="str">
        <f>IF($B43="","",IF(VLOOKUP($B43,Scores!$A$2:$I$100,8,FALSE)=0,"",VLOOKUP($B43,Scores!$A$2:$I$100,8,FALSE)+IF(VLOOKUP($B43,Scores!$A$2:$I$100,8,FALSE)=MAX(Calculations!$T$6:$T$105),1,0)+$E43))</f>
        <v/>
      </c>
      <c r="M43" s="25" t="str">
        <f>IF($B43="","",IF(VLOOKUP($B43,Scores!$A$2:$I$100,9,FALSE)=0,"",VLOOKUP($B43,Scores!$A$2:$I$100,9,FALSE)+IF(VLOOKUP($B43,Scores!$A$2:$I$100,9,FALSE)=MAX(Calculations!$U$6:$U$105),1,0)+$E43))</f>
        <v/>
      </c>
      <c r="N43" s="27">
        <f>SUM(F43:M43)</f>
        <v>179</v>
      </c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56" x14ac:dyDescent="0.3">
      <c r="A44">
        <v>2</v>
      </c>
      <c r="B44" s="28" t="s">
        <v>20</v>
      </c>
      <c r="C44" s="29" t="str">
        <f>IF(B44="","",VLOOKUP(B44,Lookups!$A$2:$F$108,3,FALSE))</f>
        <v>A</v>
      </c>
      <c r="D44" s="30" t="str">
        <f>IF(B44="","",VLOOKUP(B44,Lookups!$A$2:$F$109,6,FALSE))</f>
        <v>Meon</v>
      </c>
      <c r="E44" s="29">
        <f>IFERROR(VLOOKUP(C44,Lookups!$K$11:$L$16,2,FALSE),"")</f>
        <v>1</v>
      </c>
      <c r="F44" s="25">
        <f>IF($B44="","",IF(VLOOKUP($B44,Scores!$A$2:$I$100,2,FALSE)=0,"",VLOOKUP($B44,Scores!$A$2:$I$100,2,FALSE)+IF(VLOOKUP($B44,Scores!$A$2:$I$100,2,FALSE)=MAX(Calculations!$N$6:$N$105),1,0)+$E44))</f>
        <v>29</v>
      </c>
      <c r="G44" s="25" t="str">
        <f>IF($B44="","",IF(VLOOKUP($B44,Scores!$A$2:$I$100,3,FALSE)=0,"",VLOOKUP($B44,Scores!$A$2:$I$100,3,FALSE)+IF(VLOOKUP($B44,Scores!$A$2:$I$100,3,FALSE)=MAX(Calculations!$O$6:$O$105),1,0)+$E44))</f>
        <v/>
      </c>
      <c r="H44" s="25">
        <f>IF($B44="","",IF(VLOOKUP($B44,Scores!$A$2:$I$100,4,FALSE)=0,"",VLOOKUP($B44,Scores!$A$2:$I$100,4,FALSE)+IF(VLOOKUP($B44,Scores!$A$2:$I$100,4,FALSE)=MAX(Calculations!$P$6:$P$105),1,0)+$E44))</f>
        <v>32</v>
      </c>
      <c r="I44" s="25" t="str">
        <f>IF($B44="","",IF(VLOOKUP($B44,Scores!$A$2:$I$100,5,FALSE)=0,"",VLOOKUP($B44,Scores!$A$2:$I$100,5,FALSE)+IF(VLOOKUP($B44,Scores!$A$2:$I$100,5,FALSE)=MAX(Calculations!$Q$6:$Q$105),1,0)+$E44))</f>
        <v/>
      </c>
      <c r="J44" s="25" t="str">
        <f>IF($B44="","",IF(VLOOKUP($B44,Scores!$A$2:$I$100,6,FALSE)=0,"",VLOOKUP($B44,Scores!$A$2:$I$100,6,FALSE)+IF(VLOOKUP($B44,Scores!$A$2:$I$100,6,FALSE)=MAX(Calculations!$R$6:$R$105),1,0)+$E44))</f>
        <v/>
      </c>
      <c r="K44" s="25" t="str">
        <f>IF($B44="","",IF(VLOOKUP($B44,Scores!$A$2:$I$100,7,FALSE)=0,"",VLOOKUP($B44,Scores!$A$2:$I$100,7,FALSE)+IF(VLOOKUP($B44,Scores!$A$2:$I$100,7,FALSE)=MAX(Calculations!$S$6:$S$105),1,0)+$E44))</f>
        <v/>
      </c>
      <c r="L44" s="25" t="str">
        <f>IF($B44="","",IF(VLOOKUP($B44,Scores!$A$2:$I$100,8,FALSE)=0,"",VLOOKUP($B44,Scores!$A$2:$I$100,8,FALSE)+IF(VLOOKUP($B44,Scores!$A$2:$I$100,8,FALSE)=MAX(Calculations!$T$6:$T$105),1,0)+$E44))</f>
        <v/>
      </c>
      <c r="M44" s="25" t="str">
        <f>IF($B44="","",IF(VLOOKUP($B44,Scores!$A$2:$I$100,9,FALSE)=0,"",VLOOKUP($B44,Scores!$A$2:$I$100,9,FALSE)+IF(VLOOKUP($B44,Scores!$A$2:$I$100,9,FALSE)=MAX(Calculations!$U$6:$U$105),1,0)+$E44))</f>
        <v/>
      </c>
      <c r="N44" s="27">
        <f t="shared" ref="N44:N48" si="29">SUM(F44:M44)</f>
        <v>61</v>
      </c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56" x14ac:dyDescent="0.3">
      <c r="A45">
        <v>3</v>
      </c>
      <c r="B45" s="28" t="s">
        <v>43</v>
      </c>
      <c r="C45" s="29" t="str">
        <f>IF(B45="","",VLOOKUP(B45,Lookups!$A$2:$F$108,3,FALSE))</f>
        <v>B</v>
      </c>
      <c r="D45" s="30" t="str">
        <f>IF(B45="","",VLOOKUP(B45,Lookups!$A$2:$F$109,6,FALSE))</f>
        <v>Meon</v>
      </c>
      <c r="E45" s="29">
        <f>IFERROR(VLOOKUP(C45,Lookups!$K$11:$L$16,2,FALSE),"")</f>
        <v>3</v>
      </c>
      <c r="F45" s="25" t="str">
        <f>IF($B45="","",IF(VLOOKUP($B45,Scores!$A$2:$I$100,2,FALSE)=0,"",VLOOKUP($B45,Scores!$A$2:$I$100,2,FALSE)+IF(VLOOKUP($B45,Scores!$A$2:$I$100,2,FALSE)=MAX(Calculations!$N$6:$N$105),1,0)+$E45))</f>
        <v/>
      </c>
      <c r="G45" s="25" t="str">
        <f>IF($B45="","",IF(VLOOKUP($B45,Scores!$A$2:$I$100,3,FALSE)=0,"",VLOOKUP($B45,Scores!$A$2:$I$100,3,FALSE)+IF(VLOOKUP($B45,Scores!$A$2:$I$100,3,FALSE)=MAX(Calculations!$O$6:$O$105),1,0)+$E45))</f>
        <v/>
      </c>
      <c r="H45" s="25" t="str">
        <f>IF($B45="","",IF(VLOOKUP($B45,Scores!$A$2:$I$100,4,FALSE)=0,"",VLOOKUP($B45,Scores!$A$2:$I$100,4,FALSE)+IF(VLOOKUP($B45,Scores!$A$2:$I$100,4,FALSE)=MAX(Calculations!$P$6:$P$105),1,0)+$E45))</f>
        <v/>
      </c>
      <c r="I45" s="25" t="str">
        <f>IF($B45="","",IF(VLOOKUP($B45,Scores!$A$2:$I$100,5,FALSE)=0,"",VLOOKUP($B45,Scores!$A$2:$I$100,5,FALSE)+IF(VLOOKUP($B45,Scores!$A$2:$I$100,5,FALSE)=MAX(Calculations!$Q$6:$Q$105),1,0)+$E45))</f>
        <v/>
      </c>
      <c r="J45" s="25" t="str">
        <f>IF($B45="","",IF(VLOOKUP($B45,Scores!$A$2:$I$100,6,FALSE)=0,"",VLOOKUP($B45,Scores!$A$2:$I$100,6,FALSE)+IF(VLOOKUP($B45,Scores!$A$2:$I$100,6,FALSE)=MAX(Calculations!$R$6:$R$105),1,0)+$E45))</f>
        <v/>
      </c>
      <c r="K45" s="25" t="str">
        <f>IF($B45="","",IF(VLOOKUP($B45,Scores!$A$2:$I$100,7,FALSE)=0,"",VLOOKUP($B45,Scores!$A$2:$I$100,7,FALSE)+IF(VLOOKUP($B45,Scores!$A$2:$I$100,7,FALSE)=MAX(Calculations!$S$6:$S$105),1,0)+$E45))</f>
        <v/>
      </c>
      <c r="L45" s="25" t="str">
        <f>IF($B45="","",IF(VLOOKUP($B45,Scores!$A$2:$I$100,8,FALSE)=0,"",VLOOKUP($B45,Scores!$A$2:$I$100,8,FALSE)+IF(VLOOKUP($B45,Scores!$A$2:$I$100,8,FALSE)=MAX(Calculations!$T$6:$T$105),1,0)+$E45))</f>
        <v/>
      </c>
      <c r="M45" s="25" t="str">
        <f>IF($B45="","",IF(VLOOKUP($B45,Scores!$A$2:$I$100,9,FALSE)=0,"",VLOOKUP($B45,Scores!$A$2:$I$100,9,FALSE)+IF(VLOOKUP($B45,Scores!$A$2:$I$100,9,FALSE)=MAX(Calculations!$U$6:$U$105),1,0)+$E45))</f>
        <v/>
      </c>
      <c r="N45" s="27">
        <f t="shared" si="29"/>
        <v>0</v>
      </c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56" x14ac:dyDescent="0.3">
      <c r="A46">
        <v>4</v>
      </c>
      <c r="B46" s="28" t="s">
        <v>65</v>
      </c>
      <c r="C46" s="29" t="str">
        <f>IF(B46="","",VLOOKUP(B46,Lookups!$A$2:$F$108,3,FALSE))</f>
        <v>C</v>
      </c>
      <c r="D46" s="30" t="str">
        <f>IF(B46="","",VLOOKUP(B46,Lookups!$A$2:$F$109,6,FALSE))</f>
        <v>Meon</v>
      </c>
      <c r="E46" s="29">
        <f>IFERROR(VLOOKUP(C46,Lookups!$K$11:$L$16,2,FALSE),"")</f>
        <v>4</v>
      </c>
      <c r="F46" s="25">
        <f>IF($B46="","",IF(VLOOKUP($B46,Scores!$A$2:$I$100,2,FALSE)=0,"",VLOOKUP($B46,Scores!$A$2:$I$100,2,FALSE)+IF(VLOOKUP($B46,Scores!$A$2:$I$100,2,FALSE)=MAX(Calculations!$N$6:$N$105),1,0)+$E46))</f>
        <v>27</v>
      </c>
      <c r="G46" s="25">
        <f>IF($B46="","",IF(VLOOKUP($B46,Scores!$A$2:$I$100,3,FALSE)=0,"",VLOOKUP($B46,Scores!$A$2:$I$100,3,FALSE)+IF(VLOOKUP($B46,Scores!$A$2:$I$100,3,FALSE)=MAX(Calculations!$O$6:$O$105),1,0)+$E46))</f>
        <v>21</v>
      </c>
      <c r="H46" s="25">
        <f>IF($B46="","",IF(VLOOKUP($B46,Scores!$A$2:$I$100,4,FALSE)=0,"",VLOOKUP($B46,Scores!$A$2:$I$100,4,FALSE)+IF(VLOOKUP($B46,Scores!$A$2:$I$100,4,FALSE)=MAX(Calculations!$P$6:$P$105),1,0)+$E46))</f>
        <v>27</v>
      </c>
      <c r="I46" s="25">
        <f>IF($B46="","",IF(VLOOKUP($B46,Scores!$A$2:$I$100,5,FALSE)=0,"",VLOOKUP($B46,Scores!$A$2:$I$100,5,FALSE)+IF(VLOOKUP($B46,Scores!$A$2:$I$100,5,FALSE)=MAX(Calculations!$Q$6:$Q$105),1,0)+$E46))</f>
        <v>27</v>
      </c>
      <c r="J46" s="25">
        <f>IF($B46="","",IF(VLOOKUP($B46,Scores!$A$2:$I$100,6,FALSE)=0,"",VLOOKUP($B46,Scores!$A$2:$I$100,6,FALSE)+IF(VLOOKUP($B46,Scores!$A$2:$I$100,6,FALSE)=MAX(Calculations!$R$6:$R$105),1,0)+$E46))</f>
        <v>31</v>
      </c>
      <c r="K46" s="25">
        <f>IF($B46="","",IF(VLOOKUP($B46,Scores!$A$2:$I$100,7,FALSE)=0,"",VLOOKUP($B46,Scores!$A$2:$I$100,7,FALSE)+IF(VLOOKUP($B46,Scores!$A$2:$I$100,7,FALSE)=MAX(Calculations!$S$6:$S$105),1,0)+$E46))</f>
        <v>29</v>
      </c>
      <c r="L46" s="25" t="str">
        <f>IF($B46="","",IF(VLOOKUP($B46,Scores!$A$2:$I$100,8,FALSE)=0,"",VLOOKUP($B46,Scores!$A$2:$I$100,8,FALSE)+IF(VLOOKUP($B46,Scores!$A$2:$I$100,8,FALSE)=MAX(Calculations!$T$6:$T$105),1,0)+$E46))</f>
        <v/>
      </c>
      <c r="M46" s="25" t="str">
        <f>IF($B46="","",IF(VLOOKUP($B46,Scores!$A$2:$I$100,9,FALSE)=0,"",VLOOKUP($B46,Scores!$A$2:$I$100,9,FALSE)+IF(VLOOKUP($B46,Scores!$A$2:$I$100,9,FALSE)=MAX(Calculations!$U$6:$U$105),1,0)+$E46))</f>
        <v/>
      </c>
      <c r="N46" s="27">
        <f t="shared" si="29"/>
        <v>162</v>
      </c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56" x14ac:dyDescent="0.3">
      <c r="A47">
        <v>5</v>
      </c>
      <c r="B47" s="28" t="s">
        <v>61</v>
      </c>
      <c r="C47" s="29" t="str">
        <f>IF(B47="","",VLOOKUP(B47,Lookups!$A$2:$F$108,3,FALSE))</f>
        <v>C</v>
      </c>
      <c r="D47" s="30" t="str">
        <f>IF(B47="","",VLOOKUP(B47,Lookups!$A$2:$F$109,6,FALSE))</f>
        <v>Meon</v>
      </c>
      <c r="E47" s="29">
        <f>IFERROR(VLOOKUP(C47,Lookups!$K$11:$L$16,2,FALSE),"")</f>
        <v>4</v>
      </c>
      <c r="F47" s="25">
        <f>IF($B47="","",IF(VLOOKUP($B47,Scores!$A$2:$I$100,2,FALSE)=0,"",VLOOKUP($B47,Scores!$A$2:$I$100,2,FALSE)+IF(VLOOKUP($B47,Scores!$A$2:$I$100,2,FALSE)=MAX(Calculations!$N$6:$N$105),1,0)+$E47))</f>
        <v>22</v>
      </c>
      <c r="G47" s="25" t="str">
        <f>IF($B47="","",IF(VLOOKUP($B47,Scores!$A$2:$I$100,3,FALSE)=0,"",VLOOKUP($B47,Scores!$A$2:$I$100,3,FALSE)+IF(VLOOKUP($B47,Scores!$A$2:$I$100,3,FALSE)=MAX(Calculations!$O$6:$O$105),1,0)+$E47))</f>
        <v/>
      </c>
      <c r="H47" s="25" t="str">
        <f>IF($B47="","",IF(VLOOKUP($B47,Scores!$A$2:$I$100,4,FALSE)=0,"",VLOOKUP($B47,Scores!$A$2:$I$100,4,FALSE)+IF(VLOOKUP($B47,Scores!$A$2:$I$100,4,FALSE)=MAX(Calculations!$P$6:$P$105),1,0)+$E47))</f>
        <v/>
      </c>
      <c r="I47" s="25" t="str">
        <f>IF($B47="","",IF(VLOOKUP($B47,Scores!$A$2:$I$100,5,FALSE)=0,"",VLOOKUP($B47,Scores!$A$2:$I$100,5,FALSE)+IF(VLOOKUP($B47,Scores!$A$2:$I$100,5,FALSE)=MAX(Calculations!$Q$6:$Q$105),1,0)+$E47))</f>
        <v/>
      </c>
      <c r="J47" s="25" t="str">
        <f>IF($B47="","",IF(VLOOKUP($B47,Scores!$A$2:$I$100,6,FALSE)=0,"",VLOOKUP($B47,Scores!$A$2:$I$100,6,FALSE)+IF(VLOOKUP($B47,Scores!$A$2:$I$100,6,FALSE)=MAX(Calculations!$R$6:$R$105),1,0)+$E47))</f>
        <v/>
      </c>
      <c r="K47" s="25" t="str">
        <f>IF($B47="","",IF(VLOOKUP($B47,Scores!$A$2:$I$100,7,FALSE)=0,"",VLOOKUP($B47,Scores!$A$2:$I$100,7,FALSE)+IF(VLOOKUP($B47,Scores!$A$2:$I$100,7,FALSE)=MAX(Calculations!$S$6:$S$105),1,0)+$E47))</f>
        <v/>
      </c>
      <c r="L47" s="25" t="str">
        <f>IF($B47="","",IF(VLOOKUP($B47,Scores!$A$2:$I$100,8,FALSE)=0,"",VLOOKUP($B47,Scores!$A$2:$I$100,8,FALSE)+IF(VLOOKUP($B47,Scores!$A$2:$I$100,8,FALSE)=MAX(Calculations!$T$6:$T$105),1,0)+$E47))</f>
        <v/>
      </c>
      <c r="M47" s="25" t="str">
        <f>IF($B47="","",IF(VLOOKUP($B47,Scores!$A$2:$I$100,9,FALSE)=0,"",VLOOKUP($B47,Scores!$A$2:$I$100,9,FALSE)+IF(VLOOKUP($B47,Scores!$A$2:$I$100,9,FALSE)=MAX(Calculations!$U$6:$U$105),1,0)+$E47))</f>
        <v/>
      </c>
      <c r="N47" s="27">
        <f t="shared" si="29"/>
        <v>22</v>
      </c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56" hidden="1" x14ac:dyDescent="0.3">
      <c r="A48">
        <v>6</v>
      </c>
      <c r="B48" s="28"/>
      <c r="C48" s="29" t="str">
        <f>IF(B48="","",VLOOKUP(B48,Lookups!$A$2:$F$108,3,FALSE))</f>
        <v/>
      </c>
      <c r="D48" s="30" t="str">
        <f>IF(B48="","",VLOOKUP(B48,Lookups!$A$2:$F$109,6,FALSE))</f>
        <v/>
      </c>
      <c r="E48" s="29" t="str">
        <f>IFERROR(VLOOKUP(C48,Lookups!$K$11:$L$16,2,FALSE),"")</f>
        <v/>
      </c>
      <c r="F48" s="25" t="str">
        <f>IF($B48="","",IF(VLOOKUP($B48,Scores!$A$2:$I$100,2,FALSE)=0,"",VLOOKUP($B48,Scores!$A$2:$I$100,2,FALSE)+IF(VLOOKUP($B48,Scores!$A$2:$I$100,2,FALSE)=MAX(Calculations!$N$6:$N$105),1,0)+$E48))</f>
        <v/>
      </c>
      <c r="G48" s="25" t="str">
        <f>IF($B48="","",IF(VLOOKUP($B48,Scores!$A$2:$I$100,3,FALSE)=0,"",VLOOKUP($B48,Scores!$A$2:$I$100,3,FALSE)+IF(VLOOKUP($B48,Scores!$A$2:$I$100,3,FALSE)=MAX(Calculations!$O$6:$O$105),1,0)+$E48))</f>
        <v/>
      </c>
      <c r="H48" s="25" t="str">
        <f>IF($B48="","",IF(VLOOKUP($B48,Scores!$A$2:$I$100,4,FALSE)=0,"",VLOOKUP($B48,Scores!$A$2:$I$100,4,FALSE)+IF(VLOOKUP($B48,Scores!$A$2:$I$100,4,FALSE)=MAX(Calculations!$P$6:$P$105),1,0)+$E48))</f>
        <v/>
      </c>
      <c r="I48" s="25" t="str">
        <f>IF($B48="","",IF(VLOOKUP($B48,Scores!$A$2:$I$100,5,FALSE)=0,"",VLOOKUP($B48,Scores!$A$2:$I$100,5,FALSE)+IF(VLOOKUP($B48,Scores!$A$2:$I$100,5,FALSE)=MAX(Calculations!$Q$6:$Q$105),1,0)+$E48))</f>
        <v/>
      </c>
      <c r="J48" s="25" t="str">
        <f>IF($B48="","",IF(VLOOKUP($B48,Scores!$A$2:$I$100,6,FALSE)=0,"",VLOOKUP($B48,Scores!$A$2:$I$100,6,FALSE)+IF(VLOOKUP($B48,Scores!$A$2:$I$100,6,FALSE)=MAX(Calculations!$R$6:$R$105),1,0)+$E48))</f>
        <v/>
      </c>
      <c r="K48" s="25" t="str">
        <f>IF($B48="","",IF(VLOOKUP($B48,Scores!$A$2:$I$100,7,FALSE)=0,"",VLOOKUP($B48,Scores!$A$2:$I$100,7,FALSE)+IF(VLOOKUP($B48,Scores!$A$2:$I$100,7,FALSE)=MAX(Calculations!$S$6:$S$105),1,0)+$E48))</f>
        <v/>
      </c>
      <c r="L48" s="25" t="str">
        <f>IF($B48="","",IF(VLOOKUP($B48,Scores!$A$2:$I$100,8,FALSE)=0,"",VLOOKUP($B48,Scores!$A$2:$I$100,8,FALSE)+IF(VLOOKUP($B48,Scores!$A$2:$I$100,8,FALSE)=MAX(Calculations!$T$6:$T$105),1,0)+$E48))</f>
        <v/>
      </c>
      <c r="M48" s="25" t="str">
        <f>IF($B48="","",IF(VLOOKUP($B48,Scores!$A$2:$I$100,9,FALSE)=0,"",VLOOKUP($B48,Scores!$A$2:$I$100,9,FALSE)+IF(VLOOKUP($B48,Scores!$A$2:$I$100,9,FALSE)=MAX(Calculations!$U$6:$U$105),1,0)+$E48))</f>
        <v/>
      </c>
      <c r="N48" s="27">
        <f t="shared" si="29"/>
        <v>0</v>
      </c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4" ht="15" thickBot="1" x14ac:dyDescent="0.35">
      <c r="C49" s="36"/>
      <c r="E49" s="120" t="s">
        <v>192</v>
      </c>
      <c r="F49" s="25"/>
      <c r="G49" s="25">
        <v>21</v>
      </c>
      <c r="H49" s="25">
        <v>27</v>
      </c>
      <c r="I49" s="25">
        <v>27</v>
      </c>
      <c r="J49" s="25">
        <v>31</v>
      </c>
      <c r="K49" s="25">
        <v>29</v>
      </c>
      <c r="L49" s="25"/>
      <c r="M49" s="25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ht="15" thickBot="1" x14ac:dyDescent="0.35">
      <c r="E50" s="31" t="s">
        <v>21</v>
      </c>
      <c r="F50" s="25">
        <v>114</v>
      </c>
      <c r="G50" s="25">
        <v>71</v>
      </c>
      <c r="H50" s="25">
        <v>86</v>
      </c>
      <c r="I50" s="25">
        <v>91</v>
      </c>
      <c r="J50" s="25">
        <v>101</v>
      </c>
      <c r="K50" s="25">
        <v>96</v>
      </c>
      <c r="L50" s="25"/>
      <c r="M50" s="25"/>
      <c r="N50" s="98">
        <f>SUM(F50:M50)</f>
        <v>559</v>
      </c>
    </row>
    <row r="51" spans="1:44" x14ac:dyDescent="0.3">
      <c r="B51" t="s">
        <v>142</v>
      </c>
    </row>
    <row r="52" spans="1:44" x14ac:dyDescent="0.3">
      <c r="A52">
        <v>1</v>
      </c>
      <c r="B52" s="28" t="s">
        <v>35</v>
      </c>
      <c r="C52" s="29" t="str">
        <f>IF(B52="","",VLOOKUP(B52,Lookups!$A$2:$F$108,3,FALSE))</f>
        <v>AA</v>
      </c>
      <c r="D52" s="30" t="str">
        <f>IF(B52="","",VLOOKUP(B52,Lookups!$A$2:$F$109,6,FALSE))</f>
        <v>Frobury</v>
      </c>
      <c r="E52" s="29">
        <f>IFERROR(VLOOKUP(C52,Lookups!$K$11:$L$16,2,FALSE),"")</f>
        <v>0</v>
      </c>
      <c r="F52" s="25">
        <f>IF($B52="","",IF(VLOOKUP($B52,Scores!$A$2:$I$100,2,FALSE)=0,"",VLOOKUP($B52,Scores!$A$2:$I$100,2,FALSE)+IF(VLOOKUP($B52,Scores!$A$2:$I$100,2,FALSE)=MAX(Calculations!$N$6:$N$105),1,0)+$E52))</f>
        <v>29</v>
      </c>
      <c r="G52" s="25">
        <f>IF($B52="","",IF(VLOOKUP($B52,Scores!$A$2:$I$100,3,FALSE)=0,"",VLOOKUP($B52,Scores!$A$2:$I$100,3,FALSE)+IF(VLOOKUP($B52,Scores!$A$2:$I$100,3,FALSE)=MAX(Calculations!$O$6:$O$105),1,0)+$E52))</f>
        <v>29</v>
      </c>
      <c r="H52" s="25">
        <f>IF($B52="","",IF(VLOOKUP($B52,Scores!$A$2:$I$100,4,FALSE)=0,"",VLOOKUP($B52,Scores!$A$2:$I$100,4,FALSE)+IF(VLOOKUP($B52,Scores!$A$2:$I$100,4,FALSE)=MAX(Calculations!$P$6:$P$105),1,0)+$E52))</f>
        <v>33</v>
      </c>
      <c r="I52" s="25">
        <f>IF($B52="","",IF(VLOOKUP($B52,Scores!$A$2:$I$100,5,FALSE)=0,"",VLOOKUP($B52,Scores!$A$2:$I$100,5,FALSE)+IF(VLOOKUP($B52,Scores!$A$2:$I$100,5,FALSE)=MAX(Calculations!$Q$6:$Q$105),1,0)+$E52))</f>
        <v>34</v>
      </c>
      <c r="J52" s="25">
        <f>IF($B52="","",IF(VLOOKUP($B52,Scores!$A$2:$I$100,6,FALSE)=0,"",VLOOKUP($B52,Scores!$A$2:$I$100,6,FALSE)+IF(VLOOKUP($B52,Scores!$A$2:$I$100,6,FALSE)=MAX(Calculations!$R$6:$R$105),1,0)+$E52))</f>
        <v>31</v>
      </c>
      <c r="K52" s="25">
        <f>IF($B52="","",IF(VLOOKUP($B52,Scores!$A$2:$I$100,7,FALSE)=0,"",VLOOKUP($B52,Scores!$A$2:$I$100,7,FALSE)+IF(VLOOKUP($B52,Scores!$A$2:$I$100,7,FALSE)=MAX(Calculations!$S$6:$S$105),1,0)+$E52))</f>
        <v>35</v>
      </c>
      <c r="L52" s="25" t="str">
        <f>IF($B52="","",IF(VLOOKUP($B52,Scores!$A$2:$I$100,8,FALSE)=0,"",VLOOKUP($B52,Scores!$A$2:$I$100,8,FALSE)+IF(VLOOKUP($B52,Scores!$A$2:$I$100,8,FALSE)=MAX(Calculations!$T$6:$T$105),1,0)+$E52))</f>
        <v/>
      </c>
      <c r="M52" s="25" t="str">
        <f>IF($B52="","",IF(VLOOKUP($B52,Scores!$A$2:$I$100,9,FALSE)=0,"",VLOOKUP($B52,Scores!$A$2:$I$100,9,FALSE)+IF(VLOOKUP($B52,Scores!$A$2:$I$100,9,FALSE)=MAX(Calculations!$U$6:$U$105),1,0)+$E52))</f>
        <v/>
      </c>
      <c r="N52" s="27">
        <f>SUM(F52:M52)</f>
        <v>191</v>
      </c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44" x14ac:dyDescent="0.3">
      <c r="A53">
        <v>2</v>
      </c>
      <c r="B53" s="28" t="s">
        <v>42</v>
      </c>
      <c r="C53" s="29" t="str">
        <f>IF(B53="","",VLOOKUP(B53,Lookups!$A$2:$F$108,3,FALSE))</f>
        <v>AA</v>
      </c>
      <c r="D53" s="30" t="str">
        <f>IF(B53="","",VLOOKUP(B53,Lookups!$A$2:$F$109,6,FALSE))</f>
        <v>Frobury</v>
      </c>
      <c r="E53" s="29">
        <f>IFERROR(VLOOKUP(C53,Lookups!$K$11:$L$16,2,FALSE),"")</f>
        <v>0</v>
      </c>
      <c r="F53" s="25">
        <f>IF($B53="","",IF(VLOOKUP($B53,Scores!$A$2:$I$100,2,FALSE)=0,"",VLOOKUP($B53,Scores!$A$2:$I$100,2,FALSE)+IF(VLOOKUP($B53,Scores!$A$2:$I$100,2,FALSE)=MAX(Calculations!$N$6:$N$105),1,0)+$E53))</f>
        <v>36</v>
      </c>
      <c r="G53" s="25" t="str">
        <f>IF($B53="","",IF(VLOOKUP($B53,Scores!$A$2:$I$100,3,FALSE)=0,"",VLOOKUP($B53,Scores!$A$2:$I$100,3,FALSE)+IF(VLOOKUP($B53,Scores!$A$2:$I$100,3,FALSE)=MAX(Calculations!$O$6:$O$105),1,0)+$E53))</f>
        <v/>
      </c>
      <c r="H53" s="25">
        <f>IF($B53="","",IF(VLOOKUP($B53,Scores!$A$2:$I$100,4,FALSE)=0,"",VLOOKUP($B53,Scores!$A$2:$I$100,4,FALSE)+IF(VLOOKUP($B53,Scores!$A$2:$I$100,4,FALSE)=MAX(Calculations!$P$6:$P$105),1,0)+$E53))</f>
        <v>36</v>
      </c>
      <c r="I53" s="25">
        <f>IF($B53="","",IF(VLOOKUP($B53,Scores!$A$2:$I$100,5,FALSE)=0,"",VLOOKUP($B53,Scores!$A$2:$I$100,5,FALSE)+IF(VLOOKUP($B53,Scores!$A$2:$I$100,5,FALSE)=MAX(Calculations!$Q$6:$Q$105),1,0)+$E53))</f>
        <v>34</v>
      </c>
      <c r="J53" s="25">
        <f>IF($B53="","",IF(VLOOKUP($B53,Scores!$A$2:$I$100,6,FALSE)=0,"",VLOOKUP($B53,Scores!$A$2:$I$100,6,FALSE)+IF(VLOOKUP($B53,Scores!$A$2:$I$100,6,FALSE)=MAX(Calculations!$R$6:$R$105),1,0)+$E53))</f>
        <v>34</v>
      </c>
      <c r="K53" s="25">
        <f>IF($B53="","",IF(VLOOKUP($B53,Scores!$A$2:$I$100,7,FALSE)=0,"",VLOOKUP($B53,Scores!$A$2:$I$100,7,FALSE)+IF(VLOOKUP($B53,Scores!$A$2:$I$100,7,FALSE)=MAX(Calculations!$S$6:$S$105),1,0)+$E53))</f>
        <v>38</v>
      </c>
      <c r="L53" s="25" t="str">
        <f>IF($B53="","",IF(VLOOKUP($B53,Scores!$A$2:$I$100,8,FALSE)=0,"",VLOOKUP($B53,Scores!$A$2:$I$100,8,FALSE)+IF(VLOOKUP($B53,Scores!$A$2:$I$100,8,FALSE)=MAX(Calculations!$T$6:$T$105),1,0)+$E53))</f>
        <v/>
      </c>
      <c r="M53" s="25" t="str">
        <f>IF($B53="","",IF(VLOOKUP($B53,Scores!$A$2:$I$100,9,FALSE)=0,"",VLOOKUP($B53,Scores!$A$2:$I$100,9,FALSE)+IF(VLOOKUP($B53,Scores!$A$2:$I$100,9,FALSE)=MAX(Calculations!$U$6:$U$105),1,0)+$E53))</f>
        <v/>
      </c>
      <c r="N53" s="27">
        <f t="shared" ref="N53:N57" si="30">SUM(F53:M53)</f>
        <v>178</v>
      </c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44" x14ac:dyDescent="0.3">
      <c r="A54">
        <v>3</v>
      </c>
      <c r="B54" s="28" t="s">
        <v>19</v>
      </c>
      <c r="C54" s="29" t="str">
        <f>IF(B54="","",VLOOKUP(B54,Lookups!$A$2:$F$108,3,FALSE))</f>
        <v>A</v>
      </c>
      <c r="D54" s="30" t="str">
        <f>IF(B54="","",VLOOKUP(B54,Lookups!$A$2:$F$109,6,FALSE))</f>
        <v>Frobury</v>
      </c>
      <c r="E54" s="29">
        <f>IFERROR(VLOOKUP(C54,Lookups!$K$11:$L$16,2,FALSE),"")</f>
        <v>1</v>
      </c>
      <c r="F54" s="25">
        <f>IF($B54="","",IF(VLOOKUP($B54,Scores!$A$2:$I$100,2,FALSE)=0,"",VLOOKUP($B54,Scores!$A$2:$I$100,2,FALSE)+IF(VLOOKUP($B54,Scores!$A$2:$I$100,2,FALSE)=MAX(Calculations!$N$6:$N$105),1,0)+$E54))</f>
        <v>27</v>
      </c>
      <c r="G54" s="25">
        <f>IF($B54="","",IF(VLOOKUP($B54,Scores!$A$2:$I$100,3,FALSE)=0,"",VLOOKUP($B54,Scores!$A$2:$I$100,3,FALSE)+IF(VLOOKUP($B54,Scores!$A$2:$I$100,3,FALSE)=MAX(Calculations!$O$6:$O$105),1,0)+$E54))</f>
        <v>27</v>
      </c>
      <c r="H54" s="25">
        <f>IF($B54="","",IF(VLOOKUP($B54,Scores!$A$2:$I$100,4,FALSE)=0,"",VLOOKUP($B54,Scores!$A$2:$I$100,4,FALSE)+IF(VLOOKUP($B54,Scores!$A$2:$I$100,4,FALSE)=MAX(Calculations!$P$6:$P$105),1,0)+$E54))</f>
        <v>28</v>
      </c>
      <c r="I54" s="25">
        <f>IF($B54="","",IF(VLOOKUP($B54,Scores!$A$2:$I$100,5,FALSE)=0,"",VLOOKUP($B54,Scores!$A$2:$I$100,5,FALSE)+IF(VLOOKUP($B54,Scores!$A$2:$I$100,5,FALSE)=MAX(Calculations!$Q$6:$Q$105),1,0)+$E54))</f>
        <v>24</v>
      </c>
      <c r="J54" s="25">
        <f>IF($B54="","",IF(VLOOKUP($B54,Scores!$A$2:$I$100,6,FALSE)=0,"",VLOOKUP($B54,Scores!$A$2:$I$100,6,FALSE)+IF(VLOOKUP($B54,Scores!$A$2:$I$100,6,FALSE)=MAX(Calculations!$R$6:$R$105),1,0)+$E54))</f>
        <v>30</v>
      </c>
      <c r="K54" s="25">
        <f>IF($B54="","",IF(VLOOKUP($B54,Scores!$A$2:$I$100,7,FALSE)=0,"",VLOOKUP($B54,Scores!$A$2:$I$100,7,FALSE)+IF(VLOOKUP($B54,Scores!$A$2:$I$100,7,FALSE)=MAX(Calculations!$S$6:$S$105),1,0)+$E54))</f>
        <v>26</v>
      </c>
      <c r="L54" s="25" t="str">
        <f>IF($B54="","",IF(VLOOKUP($B54,Scores!$A$2:$I$100,8,FALSE)=0,"",VLOOKUP($B54,Scores!$A$2:$I$100,8,FALSE)+IF(VLOOKUP($B54,Scores!$A$2:$I$100,8,FALSE)=MAX(Calculations!$T$6:$T$105),1,0)+$E54))</f>
        <v/>
      </c>
      <c r="M54" s="25" t="str">
        <f>IF($B54="","",IF(VLOOKUP($B54,Scores!$A$2:$I$100,9,FALSE)=0,"",VLOOKUP($B54,Scores!$A$2:$I$100,9,FALSE)+IF(VLOOKUP($B54,Scores!$A$2:$I$100,9,FALSE)=MAX(Calculations!$U$6:$U$105),1,0)+$E54))</f>
        <v/>
      </c>
      <c r="N54" s="27">
        <f t="shared" si="30"/>
        <v>162</v>
      </c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44" x14ac:dyDescent="0.3">
      <c r="A55">
        <v>4</v>
      </c>
      <c r="B55" s="28" t="s">
        <v>8</v>
      </c>
      <c r="C55" s="29" t="str">
        <f>IF(B55="","",VLOOKUP(B55,Lookups!$A$2:$F$108,3,FALSE))</f>
        <v>A</v>
      </c>
      <c r="D55" s="30" t="str">
        <f>IF(B55="","",VLOOKUP(B55,Lookups!$A$2:$F$109,6,FALSE))</f>
        <v>Frobury</v>
      </c>
      <c r="E55" s="29">
        <f>IFERROR(VLOOKUP(C55,Lookups!$K$11:$L$16,2,FALSE),"")</f>
        <v>1</v>
      </c>
      <c r="F55" s="25" t="str">
        <f>IF($B55="","",IF(VLOOKUP($B55,Scores!$A$2:$I$100,2,FALSE)=0,"",VLOOKUP($B55,Scores!$A$2:$I$100,2,FALSE)+IF(VLOOKUP($B55,Scores!$A$2:$I$100,2,FALSE)=MAX(Calculations!$N$6:$N$105),1,0)+$E55))</f>
        <v/>
      </c>
      <c r="G55" s="25" t="str">
        <f>IF($B55="","",IF(VLOOKUP($B55,Scores!$A$2:$I$100,3,FALSE)=0,"",VLOOKUP($B55,Scores!$A$2:$I$100,3,FALSE)+IF(VLOOKUP($B55,Scores!$A$2:$I$100,3,FALSE)=MAX(Calculations!$O$6:$O$105),1,0)+$E55))</f>
        <v/>
      </c>
      <c r="H55" s="25" t="str">
        <f>IF($B55="","",IF(VLOOKUP($B55,Scores!$A$2:$I$100,4,FALSE)=0,"",VLOOKUP($B55,Scores!$A$2:$I$100,4,FALSE)+IF(VLOOKUP($B55,Scores!$A$2:$I$100,4,FALSE)=MAX(Calculations!$P$6:$P$105),1,0)+$E55))</f>
        <v/>
      </c>
      <c r="I55" s="25" t="str">
        <f>IF($B55="","",IF(VLOOKUP($B55,Scores!$A$2:$I$100,5,FALSE)=0,"",VLOOKUP($B55,Scores!$A$2:$I$100,5,FALSE)+IF(VLOOKUP($B55,Scores!$A$2:$I$100,5,FALSE)=MAX(Calculations!$Q$6:$Q$105),1,0)+$E55))</f>
        <v/>
      </c>
      <c r="J55" s="25" t="str">
        <f>IF($B55="","",IF(VLOOKUP($B55,Scores!$A$2:$I$100,6,FALSE)=0,"",VLOOKUP($B55,Scores!$A$2:$I$100,6,FALSE)+IF(VLOOKUP($B55,Scores!$A$2:$I$100,6,FALSE)=MAX(Calculations!$R$6:$R$105),1,0)+$E55))</f>
        <v/>
      </c>
      <c r="K55" s="25" t="str">
        <f>IF($B55="","",IF(VLOOKUP($B55,Scores!$A$2:$I$100,7,FALSE)=0,"",VLOOKUP($B55,Scores!$A$2:$I$100,7,FALSE)+IF(VLOOKUP($B55,Scores!$A$2:$I$100,7,FALSE)=MAX(Calculations!$S$6:$S$105),1,0)+$E55))</f>
        <v/>
      </c>
      <c r="L55" s="25" t="str">
        <f>IF($B55="","",IF(VLOOKUP($B55,Scores!$A$2:$I$100,8,FALSE)=0,"",VLOOKUP($B55,Scores!$A$2:$I$100,8,FALSE)+IF(VLOOKUP($B55,Scores!$A$2:$I$100,8,FALSE)=MAX(Calculations!$T$6:$T$105),1,0)+$E55))</f>
        <v/>
      </c>
      <c r="M55" s="25" t="str">
        <f>IF($B55="","",IF(VLOOKUP($B55,Scores!$A$2:$I$100,9,FALSE)=0,"",VLOOKUP($B55,Scores!$A$2:$I$100,9,FALSE)+IF(VLOOKUP($B55,Scores!$A$2:$I$100,9,FALSE)=MAX(Calculations!$U$6:$U$105),1,0)+$E55))</f>
        <v/>
      </c>
      <c r="N55" s="27">
        <f t="shared" si="30"/>
        <v>0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44" x14ac:dyDescent="0.3">
      <c r="A56">
        <v>5</v>
      </c>
      <c r="B56" s="28" t="s">
        <v>58</v>
      </c>
      <c r="C56" s="29" t="str">
        <f>IF(B56="","",VLOOKUP(B56,Lookups!$A$2:$F$108,3,FALSE))</f>
        <v>B</v>
      </c>
      <c r="D56" s="30" t="str">
        <f>IF(B56="","",VLOOKUP(B56,Lookups!$A$2:$F$109,6,FALSE))</f>
        <v>Frobury</v>
      </c>
      <c r="E56" s="29">
        <f>IFERROR(VLOOKUP(C56,Lookups!$K$11:$L$16,2,FALSE),"")</f>
        <v>3</v>
      </c>
      <c r="F56" s="25">
        <f>IF($B56="","",IF(VLOOKUP($B56,Scores!$A$2:$I$100,2,FALSE)=0,"",VLOOKUP($B56,Scores!$A$2:$I$100,2,FALSE)+IF(VLOOKUP($B56,Scores!$A$2:$I$100,2,FALSE)=MAX(Calculations!$N$6:$N$105),1,0)+$E56))</f>
        <v>32</v>
      </c>
      <c r="G56" s="25">
        <f>IF($B56="","",IF(VLOOKUP($B56,Scores!$A$2:$I$100,3,FALSE)=0,"",VLOOKUP($B56,Scores!$A$2:$I$100,3,FALSE)+IF(VLOOKUP($B56,Scores!$A$2:$I$100,3,FALSE)=MAX(Calculations!$O$6:$O$105),1,0)+$E56))</f>
        <v>20</v>
      </c>
      <c r="H56" s="25">
        <f>IF($B56="","",IF(VLOOKUP($B56,Scores!$A$2:$I$100,4,FALSE)=0,"",VLOOKUP($B56,Scores!$A$2:$I$100,4,FALSE)+IF(VLOOKUP($B56,Scores!$A$2:$I$100,4,FALSE)=MAX(Calculations!$P$6:$P$105),1,0)+$E56))</f>
        <v>31</v>
      </c>
      <c r="I56" s="25">
        <f>IF($B56="","",IF(VLOOKUP($B56,Scores!$A$2:$I$100,5,FALSE)=0,"",VLOOKUP($B56,Scores!$A$2:$I$100,5,FALSE)+IF(VLOOKUP($B56,Scores!$A$2:$I$100,5,FALSE)=MAX(Calculations!$Q$6:$Q$105),1,0)+$E56))</f>
        <v>34</v>
      </c>
      <c r="J56" s="25">
        <f>IF($B56="","",IF(VLOOKUP($B56,Scores!$A$2:$I$100,6,FALSE)=0,"",VLOOKUP($B56,Scores!$A$2:$I$100,6,FALSE)+IF(VLOOKUP($B56,Scores!$A$2:$I$100,6,FALSE)=MAX(Calculations!$R$6:$R$105),1,0)+$E56))</f>
        <v>34</v>
      </c>
      <c r="K56" s="25">
        <f>IF($B56="","",IF(VLOOKUP($B56,Scores!$A$2:$I$100,7,FALSE)=0,"",VLOOKUP($B56,Scores!$A$2:$I$100,7,FALSE)+IF(VLOOKUP($B56,Scores!$A$2:$I$100,7,FALSE)=MAX(Calculations!$S$6:$S$105),1,0)+$E56))</f>
        <v>38</v>
      </c>
      <c r="L56" s="25" t="str">
        <f>IF($B56="","",IF(VLOOKUP($B56,Scores!$A$2:$I$100,8,FALSE)=0,"",VLOOKUP($B56,Scores!$A$2:$I$100,8,FALSE)+IF(VLOOKUP($B56,Scores!$A$2:$I$100,8,FALSE)=MAX(Calculations!$T$6:$T$105),1,0)+$E56))</f>
        <v/>
      </c>
      <c r="M56" s="25" t="str">
        <f>IF($B56="","",IF(VLOOKUP($B56,Scores!$A$2:$I$100,9,FALSE)=0,"",VLOOKUP($B56,Scores!$A$2:$I$100,9,FALSE)+IF(VLOOKUP($B56,Scores!$A$2:$I$100,9,FALSE)=MAX(Calculations!$U$6:$U$105),1,0)+$E56))</f>
        <v/>
      </c>
      <c r="N56" s="27">
        <f t="shared" si="30"/>
        <v>189</v>
      </c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44" x14ac:dyDescent="0.3">
      <c r="A57">
        <v>6</v>
      </c>
      <c r="B57" s="28" t="s">
        <v>114</v>
      </c>
      <c r="C57" s="29" t="str">
        <f>IF(B57="","",VLOOKUP(B57,Lookups!$A$2:$F$108,3,FALSE))</f>
        <v>O</v>
      </c>
      <c r="D57" s="30" t="str">
        <f>IF(B57="","",VLOOKUP(B57,Lookups!$A$2:$F$109,6,FALSE))</f>
        <v>Frobury</v>
      </c>
      <c r="E57" s="29">
        <f>IFERROR(VLOOKUP(C57,Lookups!$K$11:$L$16,2,FALSE),"")</f>
        <v>-7</v>
      </c>
      <c r="F57" s="25" t="str">
        <f>IF($B57="","",IF(VLOOKUP($B57,Scores!$A$2:$I$100,2,FALSE)=0,"",VLOOKUP($B57,Scores!$A$2:$I$100,2,FALSE)+IF(VLOOKUP($B57,Scores!$A$2:$I$100,2,FALSE)=MAX(Calculations!$N$6:$N$105),1,0)+$E57))</f>
        <v/>
      </c>
      <c r="G57" s="25">
        <f>IF($B57="","",IF(VLOOKUP($B57,Scores!$A$2:$I$100,3,FALSE)=0,"",VLOOKUP($B57,Scores!$A$2:$I$100,3,FALSE)+IF(VLOOKUP($B57,Scores!$A$2:$I$100,3,FALSE)=MAX(Calculations!$O$6:$O$105),1,0)+$E57))</f>
        <v>20</v>
      </c>
      <c r="H57" s="25" t="str">
        <f>IF($B57="","",IF(VLOOKUP($B57,Scores!$A$2:$I$100,4,FALSE)=0,"",VLOOKUP($B57,Scores!$A$2:$I$100,4,FALSE)+IF(VLOOKUP($B57,Scores!$A$2:$I$100,4,FALSE)=MAX(Calculations!$P$6:$P$105),1,0)+$E57))</f>
        <v/>
      </c>
      <c r="I57" s="25" t="str">
        <f>IF($B57="","",IF(VLOOKUP($B57,Scores!$A$2:$I$100,5,FALSE)=0,"",VLOOKUP($B57,Scores!$A$2:$I$100,5,FALSE)+IF(VLOOKUP($B57,Scores!$A$2:$I$100,5,FALSE)=MAX(Calculations!$Q$6:$Q$105),1,0)+$E57))</f>
        <v/>
      </c>
      <c r="J57" s="25" t="str">
        <f>IF($B57="","",IF(VLOOKUP($B57,Scores!$A$2:$I$100,6,FALSE)=0,"",VLOOKUP($B57,Scores!$A$2:$I$100,6,FALSE)+IF(VLOOKUP($B57,Scores!$A$2:$I$100,6,FALSE)=MAX(Calculations!$R$6:$R$105),1,0)+$E57))</f>
        <v/>
      </c>
      <c r="K57" s="25">
        <f>IF($B57="","",IF(VLOOKUP($B57,Scores!$A$2:$I$100,7,FALSE)=0,"",VLOOKUP($B57,Scores!$A$2:$I$100,7,FALSE)+IF(VLOOKUP($B57,Scores!$A$2:$I$100,7,FALSE)=MAX(Calculations!$S$6:$S$105),1,0)+$E57))</f>
        <v>25</v>
      </c>
      <c r="L57" s="25" t="str">
        <f>IF($B57="","",IF(VLOOKUP($B57,Scores!$A$2:$I$100,8,FALSE)=0,"",VLOOKUP($B57,Scores!$A$2:$I$100,8,FALSE)+IF(VLOOKUP($B57,Scores!$A$2:$I$100,8,FALSE)=MAX(Calculations!$T$6:$T$105),1,0)+$E57))</f>
        <v/>
      </c>
      <c r="M57" s="25" t="str">
        <f>IF($B57="","",IF(VLOOKUP($B57,Scores!$A$2:$I$100,9,FALSE)=0,"",VLOOKUP($B57,Scores!$A$2:$I$100,9,FALSE)+IF(VLOOKUP($B57,Scores!$A$2:$I$100,9,FALSE)=MAX(Calculations!$U$6:$U$105),1,0)+$E57))</f>
        <v/>
      </c>
      <c r="N57" s="27">
        <f t="shared" si="30"/>
        <v>45</v>
      </c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44" ht="15" thickBot="1" x14ac:dyDescent="0.35">
      <c r="C58" s="36"/>
      <c r="E58" s="120" t="s">
        <v>192</v>
      </c>
      <c r="F58" s="25"/>
      <c r="G58" s="25"/>
      <c r="H58" s="25"/>
      <c r="I58" s="25"/>
      <c r="J58" s="25"/>
      <c r="K58" s="25"/>
      <c r="L58" s="25"/>
      <c r="M58" s="25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ht="15" thickBot="1" x14ac:dyDescent="0.35">
      <c r="E59" s="31" t="s">
        <v>11</v>
      </c>
      <c r="F59" s="25">
        <v>124</v>
      </c>
      <c r="G59" s="25">
        <v>96</v>
      </c>
      <c r="H59" s="25">
        <v>128</v>
      </c>
      <c r="I59" s="25">
        <v>126</v>
      </c>
      <c r="J59" s="25">
        <v>129</v>
      </c>
      <c r="K59" s="25">
        <v>137</v>
      </c>
      <c r="L59" s="25"/>
      <c r="M59" s="25"/>
      <c r="N59" s="98">
        <f>SUM(F59:M59)</f>
        <v>740</v>
      </c>
    </row>
    <row r="60" spans="1:44" x14ac:dyDescent="0.3">
      <c r="B60" t="s">
        <v>143</v>
      </c>
    </row>
    <row r="61" spans="1:44" x14ac:dyDescent="0.3">
      <c r="A61">
        <v>1</v>
      </c>
      <c r="B61" s="28" t="s">
        <v>55</v>
      </c>
      <c r="C61" s="29" t="str">
        <f>IF(B61="","",VLOOKUP(B61,Lookups!$A$2:$F$108,3,FALSE))</f>
        <v>B</v>
      </c>
      <c r="D61" s="30" t="str">
        <f>IF(B61="","",VLOOKUP(B61,Lookups!$A$2:$F$109,6,FALSE))</f>
        <v>Newbury</v>
      </c>
      <c r="E61" s="29">
        <f>IFERROR(VLOOKUP(C61,Lookups!$K$11:$L$16,2,FALSE),"")</f>
        <v>3</v>
      </c>
      <c r="F61" s="25" t="str">
        <f>IF($B61="","",IF(VLOOKUP($B61,Scores!$A$2:$I$100,2,FALSE)=0,"",VLOOKUP($B61,Scores!$A$2:$I$100,2,FALSE)+IF(VLOOKUP($B61,Scores!$A$2:$I$100,2,FALSE)=MAX(Calculations!$N$6:$N$105),1,0)+$E61))</f>
        <v/>
      </c>
      <c r="G61" s="25">
        <f>IF($B61="","",IF(VLOOKUP($B61,Scores!$A$2:$I$100,3,FALSE)=0,"",VLOOKUP($B61,Scores!$A$2:$I$100,3,FALSE)+IF(VLOOKUP($B61,Scores!$A$2:$I$100,3,FALSE)=MAX(Calculations!$O$6:$O$105),1,0)+$E61))</f>
        <v>25</v>
      </c>
      <c r="H61" s="25">
        <f>IF($B61="","",IF(VLOOKUP($B61,Scores!$A$2:$I$100,4,FALSE)=0,"",VLOOKUP($B61,Scores!$A$2:$I$100,4,FALSE)+IF(VLOOKUP($B61,Scores!$A$2:$I$100,4,FALSE)=MAX(Calculations!$P$6:$P$105),1,0)+$E61))</f>
        <v>28</v>
      </c>
      <c r="I61" s="25">
        <f>IF($B61="","",IF(VLOOKUP($B61,Scores!$A$2:$I$100,5,FALSE)=0,"",VLOOKUP($B61,Scores!$A$2:$I$100,5,FALSE)+IF(VLOOKUP($B61,Scores!$A$2:$I$100,5,FALSE)=MAX(Calculations!$Q$6:$Q$105),1,0)+$E61))</f>
        <v>30</v>
      </c>
      <c r="J61" s="25">
        <f>IF($B61="","",IF(VLOOKUP($B61,Scores!$A$2:$I$100,6,FALSE)=0,"",VLOOKUP($B61,Scores!$A$2:$I$100,6,FALSE)+IF(VLOOKUP($B61,Scores!$A$2:$I$100,6,FALSE)=MAX(Calculations!$R$6:$R$105),1,0)+$E61))</f>
        <v>31</v>
      </c>
      <c r="K61" s="25" t="str">
        <f>IF($B61="","",IF(VLOOKUP($B61,Scores!$A$2:$I$100,7,FALSE)=0,"",VLOOKUP($B61,Scores!$A$2:$I$100,7,FALSE)+IF(VLOOKUP($B61,Scores!$A$2:$I$100,7,FALSE)=MAX(Calculations!$S$6:$S$105),1,0)+$E61))</f>
        <v/>
      </c>
      <c r="L61" s="25" t="str">
        <f>IF($B61="","",IF(VLOOKUP($B61,Scores!$A$2:$I$100,8,FALSE)=0,"",VLOOKUP($B61,Scores!$A$2:$I$100,8,FALSE)+IF(VLOOKUP($B61,Scores!$A$2:$I$100,8,FALSE)=MAX(Calculations!$T$6:$T$105),1,0)+$E61))</f>
        <v/>
      </c>
      <c r="M61" s="25" t="str">
        <f>IF($B61="","",IF(VLOOKUP($B61,Scores!$A$2:$I$100,9,FALSE)=0,"",VLOOKUP($B61,Scores!$A$2:$I$100,9,FALSE)+IF(VLOOKUP($B61,Scores!$A$2:$I$100,9,FALSE)=MAX(Calculations!$U$6:$U$105),1,0)+$E61))</f>
        <v/>
      </c>
      <c r="N61" s="27">
        <f>SUM(F61:M61)</f>
        <v>114</v>
      </c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x14ac:dyDescent="0.3">
      <c r="A62">
        <v>2</v>
      </c>
      <c r="B62" s="28" t="s">
        <v>45</v>
      </c>
      <c r="C62" s="29" t="str">
        <f>IF(B62="","",VLOOKUP(B62,Lookups!$A$2:$F$108,3,FALSE))</f>
        <v>B</v>
      </c>
      <c r="D62" s="30" t="str">
        <f>IF(B62="","",VLOOKUP(B62,Lookups!$A$2:$F$109,6,FALSE))</f>
        <v>Newbury</v>
      </c>
      <c r="E62" s="29">
        <f>IFERROR(VLOOKUP(C62,Lookups!$K$11:$L$16,2,FALSE),"")</f>
        <v>3</v>
      </c>
      <c r="F62" s="25">
        <f>IF($B62="","",IF(VLOOKUP($B62,Scores!$A$2:$I$100,2,FALSE)=0,"",VLOOKUP($B62,Scores!$A$2:$I$100,2,FALSE)+IF(VLOOKUP($B62,Scores!$A$2:$I$100,2,FALSE)=MAX(Calculations!$N$6:$N$105),1,0)+$E62))</f>
        <v>30</v>
      </c>
      <c r="G62" s="25">
        <f>IF($B62="","",IF(VLOOKUP($B62,Scores!$A$2:$I$100,3,FALSE)=0,"",VLOOKUP($B62,Scores!$A$2:$I$100,3,FALSE)+IF(VLOOKUP($B62,Scores!$A$2:$I$100,3,FALSE)=MAX(Calculations!$O$6:$O$105),1,0)+$E62))</f>
        <v>20</v>
      </c>
      <c r="H62" s="25">
        <f>IF($B62="","",IF(VLOOKUP($B62,Scores!$A$2:$I$100,4,FALSE)=0,"",VLOOKUP($B62,Scores!$A$2:$I$100,4,FALSE)+IF(VLOOKUP($B62,Scores!$A$2:$I$100,4,FALSE)=MAX(Calculations!$P$6:$P$105),1,0)+$E62))</f>
        <v>26</v>
      </c>
      <c r="I62" s="25">
        <f>IF($B62="","",IF(VLOOKUP($B62,Scores!$A$2:$I$100,5,FALSE)=0,"",VLOOKUP($B62,Scores!$A$2:$I$100,5,FALSE)+IF(VLOOKUP($B62,Scores!$A$2:$I$100,5,FALSE)=MAX(Calculations!$Q$6:$Q$105),1,0)+$E62))</f>
        <v>22</v>
      </c>
      <c r="J62" s="25">
        <f>IF($B62="","",IF(VLOOKUP($B62,Scores!$A$2:$I$100,6,FALSE)=0,"",VLOOKUP($B62,Scores!$A$2:$I$100,6,FALSE)+IF(VLOOKUP($B62,Scores!$A$2:$I$100,6,FALSE)=MAX(Calculations!$R$6:$R$105),1,0)+$E62))</f>
        <v>21</v>
      </c>
      <c r="K62" s="25">
        <f>IF($B62="","",IF(VLOOKUP($B62,Scores!$A$2:$I$100,7,FALSE)=0,"",VLOOKUP($B62,Scores!$A$2:$I$100,7,FALSE)+IF(VLOOKUP($B62,Scores!$A$2:$I$100,7,FALSE)=MAX(Calculations!$S$6:$S$105),1,0)+$E62))</f>
        <v>26</v>
      </c>
      <c r="L62" s="25" t="str">
        <f>IF($B62="","",IF(VLOOKUP($B62,Scores!$A$2:$I$100,8,FALSE)=0,"",VLOOKUP($B62,Scores!$A$2:$I$100,8,FALSE)+IF(VLOOKUP($B62,Scores!$A$2:$I$100,8,FALSE)=MAX(Calculations!$T$6:$T$105),1,0)+$E62))</f>
        <v/>
      </c>
      <c r="M62" s="25" t="str">
        <f>IF($B62="","",IF(VLOOKUP($B62,Scores!$A$2:$I$100,9,FALSE)=0,"",VLOOKUP($B62,Scores!$A$2:$I$100,9,FALSE)+IF(VLOOKUP($B62,Scores!$A$2:$I$100,9,FALSE)=MAX(Calculations!$U$6:$U$105),1,0)+$E62))</f>
        <v/>
      </c>
      <c r="N62" s="27">
        <f t="shared" ref="N62:N66" si="31">SUM(F62:M62)</f>
        <v>145</v>
      </c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</row>
    <row r="63" spans="1:44" x14ac:dyDescent="0.3">
      <c r="A63">
        <v>3</v>
      </c>
      <c r="B63" s="28" t="s">
        <v>53</v>
      </c>
      <c r="C63" s="29" t="str">
        <f>IF(B63="","",VLOOKUP(B63,Lookups!$A$2:$F$108,3,FALSE))</f>
        <v>B</v>
      </c>
      <c r="D63" s="30" t="str">
        <f>IF(B63="","",VLOOKUP(B63,Lookups!$A$2:$F$109,6,FALSE))</f>
        <v>Newbury</v>
      </c>
      <c r="E63" s="29">
        <f>IFERROR(VLOOKUP(C63,Lookups!$K$11:$L$16,2,FALSE),"")</f>
        <v>3</v>
      </c>
      <c r="F63" s="25" t="str">
        <f>IF($B63="","",IF(VLOOKUP($B63,Scores!$A$2:$I$100,2,FALSE)=0,"",VLOOKUP($B63,Scores!$A$2:$I$100,2,FALSE)+IF(VLOOKUP($B63,Scores!$A$2:$I$100,2,FALSE)=MAX(Calculations!$N$6:$N$105),1,0)+$E63))</f>
        <v/>
      </c>
      <c r="G63" s="25" t="str">
        <f>IF($B63="","",IF(VLOOKUP($B63,Scores!$A$2:$I$100,3,FALSE)=0,"",VLOOKUP($B63,Scores!$A$2:$I$100,3,FALSE)+IF(VLOOKUP($B63,Scores!$A$2:$I$100,3,FALSE)=MAX(Calculations!$O$6:$O$105),1,0)+$E63))</f>
        <v/>
      </c>
      <c r="H63" s="25">
        <f>IF($B63="","",IF(VLOOKUP($B63,Scores!$A$2:$I$100,4,FALSE)=0,"",VLOOKUP($B63,Scores!$A$2:$I$100,4,FALSE)+IF(VLOOKUP($B63,Scores!$A$2:$I$100,4,FALSE)=MAX(Calculations!$P$6:$P$105),1,0)+$E63))</f>
        <v>24</v>
      </c>
      <c r="I63" s="25" t="str">
        <f>IF($B63="","",IF(VLOOKUP($B63,Scores!$A$2:$I$100,5,FALSE)=0,"",VLOOKUP($B63,Scores!$A$2:$I$100,5,FALSE)+IF(VLOOKUP($B63,Scores!$A$2:$I$100,5,FALSE)=MAX(Calculations!$Q$6:$Q$105),1,0)+$E63))</f>
        <v/>
      </c>
      <c r="J63" s="25" t="str">
        <f>IF($B63="","",IF(VLOOKUP($B63,Scores!$A$2:$I$100,6,FALSE)=0,"",VLOOKUP($B63,Scores!$A$2:$I$100,6,FALSE)+IF(VLOOKUP($B63,Scores!$A$2:$I$100,6,FALSE)=MAX(Calculations!$R$6:$R$105),1,0)+$E63))</f>
        <v/>
      </c>
      <c r="K63" s="25" t="str">
        <f>IF($B63="","",IF(VLOOKUP($B63,Scores!$A$2:$I$100,7,FALSE)=0,"",VLOOKUP($B63,Scores!$A$2:$I$100,7,FALSE)+IF(VLOOKUP($B63,Scores!$A$2:$I$100,7,FALSE)=MAX(Calculations!$S$6:$S$105),1,0)+$E63))</f>
        <v/>
      </c>
      <c r="L63" s="25" t="str">
        <f>IF($B63="","",IF(VLOOKUP($B63,Scores!$A$2:$I$100,8,FALSE)=0,"",VLOOKUP($B63,Scores!$A$2:$I$100,8,FALSE)+IF(VLOOKUP($B63,Scores!$A$2:$I$100,8,FALSE)=MAX(Calculations!$T$6:$T$105),1,0)+$E63))</f>
        <v/>
      </c>
      <c r="M63" s="25" t="str">
        <f>IF($B63="","",IF(VLOOKUP($B63,Scores!$A$2:$I$100,9,FALSE)=0,"",VLOOKUP($B63,Scores!$A$2:$I$100,9,FALSE)+IF(VLOOKUP($B63,Scores!$A$2:$I$100,9,FALSE)=MAX(Calculations!$U$6:$U$105),1,0)+$E63))</f>
        <v/>
      </c>
      <c r="N63" s="27">
        <f t="shared" si="31"/>
        <v>24</v>
      </c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</row>
    <row r="64" spans="1:44" x14ac:dyDescent="0.3">
      <c r="A64">
        <v>4</v>
      </c>
      <c r="B64" s="28" t="s">
        <v>66</v>
      </c>
      <c r="C64" s="29" t="str">
        <f>IF(B64="","",VLOOKUP(B64,Lookups!$A$2:$F$108,3,FALSE))</f>
        <v>C</v>
      </c>
      <c r="D64" s="30" t="str">
        <f>IF(B64="","",VLOOKUP(B64,Lookups!$A$2:$F$109,6,FALSE))</f>
        <v>Newbury</v>
      </c>
      <c r="E64" s="29">
        <f>IFERROR(VLOOKUP(C64,Lookups!$K$11:$L$16,2,FALSE),"")</f>
        <v>4</v>
      </c>
      <c r="F64" s="25">
        <f>IF($B64="","",IF(VLOOKUP($B64,Scores!$A$2:$I$100,2,FALSE)=0,"",VLOOKUP($B64,Scores!$A$2:$I$100,2,FALSE)+IF(VLOOKUP($B64,Scores!$A$2:$I$100,2,FALSE)=MAX(Calculations!$N$6:$N$105),1,0)+$E64))</f>
        <v>18</v>
      </c>
      <c r="G64" s="25">
        <f>IF($B64="","",IF(VLOOKUP($B64,Scores!$A$2:$I$100,3,FALSE)=0,"",VLOOKUP($B64,Scores!$A$2:$I$100,3,FALSE)+IF(VLOOKUP($B64,Scores!$A$2:$I$100,3,FALSE)=MAX(Calculations!$O$6:$O$105),1,0)+$E64))</f>
        <v>16</v>
      </c>
      <c r="H64" s="25">
        <f>IF($B64="","",IF(VLOOKUP($B64,Scores!$A$2:$I$100,4,FALSE)=0,"",VLOOKUP($B64,Scores!$A$2:$I$100,4,FALSE)+IF(VLOOKUP($B64,Scores!$A$2:$I$100,4,FALSE)=MAX(Calculations!$P$6:$P$105),1,0)+$E64))</f>
        <v>24</v>
      </c>
      <c r="I64" s="25" t="str">
        <f>IF($B64="","",IF(VLOOKUP($B64,Scores!$A$2:$I$100,5,FALSE)=0,"",VLOOKUP($B64,Scores!$A$2:$I$100,5,FALSE)+IF(VLOOKUP($B64,Scores!$A$2:$I$100,5,FALSE)=MAX(Calculations!$Q$6:$Q$105),1,0)+$E64))</f>
        <v/>
      </c>
      <c r="J64" s="25" t="str">
        <f>IF($B64="","",IF(VLOOKUP($B64,Scores!$A$2:$I$100,6,FALSE)=0,"",VLOOKUP($B64,Scores!$A$2:$I$100,6,FALSE)+IF(VLOOKUP($B64,Scores!$A$2:$I$100,6,FALSE)=MAX(Calculations!$R$6:$R$105),1,0)+$E64))</f>
        <v/>
      </c>
      <c r="K64" s="25" t="str">
        <f>IF($B64="","",IF(VLOOKUP($B64,Scores!$A$2:$I$100,7,FALSE)=0,"",VLOOKUP($B64,Scores!$A$2:$I$100,7,FALSE)+IF(VLOOKUP($B64,Scores!$A$2:$I$100,7,FALSE)=MAX(Calculations!$S$6:$S$105),1,0)+$E64))</f>
        <v/>
      </c>
      <c r="L64" s="25" t="str">
        <f>IF($B64="","",IF(VLOOKUP($B64,Scores!$A$2:$I$100,8,FALSE)=0,"",VLOOKUP($B64,Scores!$A$2:$I$100,8,FALSE)+IF(VLOOKUP($B64,Scores!$A$2:$I$100,8,FALSE)=MAX(Calculations!$T$6:$T$105),1,0)+$E64))</f>
        <v/>
      </c>
      <c r="M64" s="25" t="str">
        <f>IF($B64="","",IF(VLOOKUP($B64,Scores!$A$2:$I$100,9,FALSE)=0,"",VLOOKUP($B64,Scores!$A$2:$I$100,9,FALSE)+IF(VLOOKUP($B64,Scores!$A$2:$I$100,9,FALSE)=MAX(Calculations!$U$6:$U$105),1,0)+$E64))</f>
        <v/>
      </c>
      <c r="N64" s="27">
        <f t="shared" si="31"/>
        <v>58</v>
      </c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50" x14ac:dyDescent="0.3">
      <c r="A65">
        <v>5</v>
      </c>
      <c r="B65" s="28" t="s">
        <v>111</v>
      </c>
      <c r="C65" s="29" t="str">
        <f>IF(B65="","",VLOOKUP(B65,Lookups!$A$2:$F$108,3,FALSE))</f>
        <v>O</v>
      </c>
      <c r="D65" s="30" t="str">
        <f>IF(B65="","",VLOOKUP(B65,Lookups!$A$2:$F$109,6,FALSE))</f>
        <v>Newbury</v>
      </c>
      <c r="E65" s="29">
        <f>IFERROR(VLOOKUP(C65,Lookups!$K$11:$L$16,2,FALSE),"")</f>
        <v>-7</v>
      </c>
      <c r="F65" s="25">
        <f>IF($B65="","",IF(VLOOKUP($B65,Scores!$A$2:$I$100,2,FALSE)=0,"",VLOOKUP($B65,Scores!$A$2:$I$100,2,FALSE)+IF(VLOOKUP($B65,Scores!$A$2:$I$100,2,FALSE)=MAX(Calculations!$N$6:$N$105),1,0)+$E65))</f>
        <v>16</v>
      </c>
      <c r="G65" s="25" t="str">
        <f>IF($B65="","",IF(VLOOKUP($B65,Scores!$A$2:$I$100,3,FALSE)=0,"",VLOOKUP($B65,Scores!$A$2:$I$100,3,FALSE)+IF(VLOOKUP($B65,Scores!$A$2:$I$100,3,FALSE)=MAX(Calculations!$O$6:$O$105),1,0)+$E65))</f>
        <v/>
      </c>
      <c r="H65" s="25">
        <f>IF($B65="","",IF(VLOOKUP($B65,Scores!$A$2:$I$100,4,FALSE)=0,"",VLOOKUP($B65,Scores!$A$2:$I$100,4,FALSE)+IF(VLOOKUP($B65,Scores!$A$2:$I$100,4,FALSE)=MAX(Calculations!$P$6:$P$105),1,0)+$E65))</f>
        <v>18</v>
      </c>
      <c r="I65" s="25">
        <f>IF($B65="","",IF(VLOOKUP($B65,Scores!$A$2:$I$100,5,FALSE)=0,"",VLOOKUP($B65,Scores!$A$2:$I$100,5,FALSE)+IF(VLOOKUP($B65,Scores!$A$2:$I$100,5,FALSE)=MAX(Calculations!$Q$6:$Q$105),1,0)+$E65))</f>
        <v>20</v>
      </c>
      <c r="J65" s="25">
        <f>IF($B65="","",IF(VLOOKUP($B65,Scores!$A$2:$I$100,6,FALSE)=0,"",VLOOKUP($B65,Scores!$A$2:$I$100,6,FALSE)+IF(VLOOKUP($B65,Scores!$A$2:$I$100,6,FALSE)=MAX(Calculations!$R$6:$R$105),1,0)+$E65))</f>
        <v>20</v>
      </c>
      <c r="K65" s="25">
        <f>IF($B65="","",IF(VLOOKUP($B65,Scores!$A$2:$I$100,7,FALSE)=0,"",VLOOKUP($B65,Scores!$A$2:$I$100,7,FALSE)+IF(VLOOKUP($B65,Scores!$A$2:$I$100,7,FALSE)=MAX(Calculations!$S$6:$S$105),1,0)+$E65))</f>
        <v>17</v>
      </c>
      <c r="L65" s="25" t="str">
        <f>IF($B65="","",IF(VLOOKUP($B65,Scores!$A$2:$I$100,8,FALSE)=0,"",VLOOKUP($B65,Scores!$A$2:$I$100,8,FALSE)+IF(VLOOKUP($B65,Scores!$A$2:$I$100,8,FALSE)=MAX(Calculations!$T$6:$T$105),1,0)+$E65))</f>
        <v/>
      </c>
      <c r="M65" s="25" t="str">
        <f>IF($B65="","",IF(VLOOKUP($B65,Scores!$A$2:$I$100,9,FALSE)=0,"",VLOOKUP($B65,Scores!$A$2:$I$100,9,FALSE)+IF(VLOOKUP($B65,Scores!$A$2:$I$100,9,FALSE)=MAX(Calculations!$U$6:$U$105),1,0)+$E65))</f>
        <v/>
      </c>
      <c r="N65" s="27">
        <f t="shared" si="31"/>
        <v>91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</row>
    <row r="66" spans="1:50" x14ac:dyDescent="0.3">
      <c r="A66">
        <v>6</v>
      </c>
      <c r="B66" s="28" t="s">
        <v>112</v>
      </c>
      <c r="C66" s="29" t="str">
        <f>IF(B66="","",VLOOKUP(B66,Lookups!$A$2:$F$108,3,FALSE))</f>
        <v>O</v>
      </c>
      <c r="D66" s="30" t="str">
        <f>IF(B66="","",VLOOKUP(B66,Lookups!$A$2:$F$109,6,FALSE))</f>
        <v>Newbury</v>
      </c>
      <c r="E66" s="29">
        <f>IFERROR(VLOOKUP(C66,Lookups!$K$11:$L$16,2,FALSE),"")</f>
        <v>-7</v>
      </c>
      <c r="F66" s="25">
        <f>IF($B66="","",IF(VLOOKUP($B66,Scores!$A$2:$I$100,2,FALSE)=0,"",VLOOKUP($B66,Scores!$A$2:$I$100,2,FALSE)+IF(VLOOKUP($B66,Scores!$A$2:$I$100,2,FALSE)=MAX(Calculations!$N$6:$N$105),1,0)+$E66))</f>
        <v>18</v>
      </c>
      <c r="G66" s="25" t="str">
        <f>IF($B66="","",IF(VLOOKUP($B66,Scores!$A$2:$I$100,3,FALSE)=0,"",VLOOKUP($B66,Scores!$A$2:$I$100,3,FALSE)+IF(VLOOKUP($B66,Scores!$A$2:$I$100,3,FALSE)=MAX(Calculations!$O$6:$O$105),1,0)+$E66))</f>
        <v/>
      </c>
      <c r="H66" s="25">
        <f>IF($B66="","",IF(VLOOKUP($B66,Scores!$A$2:$I$100,4,FALSE)=0,"",VLOOKUP($B66,Scores!$A$2:$I$100,4,FALSE)+IF(VLOOKUP($B66,Scores!$A$2:$I$100,4,FALSE)=MAX(Calculations!$P$6:$P$105),1,0)+$E66))</f>
        <v>16</v>
      </c>
      <c r="I66" s="25">
        <f>IF($B66="","",IF(VLOOKUP($B66,Scores!$A$2:$I$100,5,FALSE)=0,"",VLOOKUP($B66,Scores!$A$2:$I$100,5,FALSE)+IF(VLOOKUP($B66,Scores!$A$2:$I$100,5,FALSE)=MAX(Calculations!$Q$6:$Q$105),1,0)+$E66))</f>
        <v>13</v>
      </c>
      <c r="J66" s="25">
        <f>IF($B66="","",IF(VLOOKUP($B66,Scores!$A$2:$I$100,6,FALSE)=0,"",VLOOKUP($B66,Scores!$A$2:$I$100,6,FALSE)+IF(VLOOKUP($B66,Scores!$A$2:$I$100,6,FALSE)=MAX(Calculations!$R$6:$R$105),1,0)+$E66))</f>
        <v>20</v>
      </c>
      <c r="K66" s="25">
        <f>IF($B66="","",IF(VLOOKUP($B66,Scores!$A$2:$I$100,7,FALSE)=0,"",VLOOKUP($B66,Scores!$A$2:$I$100,7,FALSE)+IF(VLOOKUP($B66,Scores!$A$2:$I$100,7,FALSE)=MAX(Calculations!$S$6:$S$105),1,0)+$E66))</f>
        <v>13</v>
      </c>
      <c r="L66" s="25" t="str">
        <f>IF($B66="","",IF(VLOOKUP($B66,Scores!$A$2:$I$100,8,FALSE)=0,"",VLOOKUP($B66,Scores!$A$2:$I$100,8,FALSE)+IF(VLOOKUP($B66,Scores!$A$2:$I$100,8,FALSE)=MAX(Calculations!$T$6:$T$105),1,0)+$E66))</f>
        <v/>
      </c>
      <c r="M66" s="25" t="str">
        <f>IF($B66="","",IF(VLOOKUP($B66,Scores!$A$2:$I$100,9,FALSE)=0,"",VLOOKUP($B66,Scores!$A$2:$I$100,9,FALSE)+IF(VLOOKUP($B66,Scores!$A$2:$I$100,9,FALSE)=MAX(Calculations!$U$6:$U$105),1,0)+$E66))</f>
        <v/>
      </c>
      <c r="N66" s="27">
        <f t="shared" si="31"/>
        <v>80</v>
      </c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50" ht="15" thickBot="1" x14ac:dyDescent="0.35">
      <c r="C67" s="36"/>
      <c r="E67" s="120" t="s">
        <v>192</v>
      </c>
      <c r="F67" s="25"/>
      <c r="G67" s="25">
        <v>16</v>
      </c>
      <c r="H67" s="25"/>
      <c r="I67" s="25"/>
      <c r="J67" s="25"/>
      <c r="K67" s="25">
        <v>13</v>
      </c>
      <c r="L67" s="25"/>
      <c r="M67" s="25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50" ht="15" thickBot="1" x14ac:dyDescent="0.35">
      <c r="E68" s="31" t="s">
        <v>41</v>
      </c>
      <c r="F68" s="25">
        <v>82</v>
      </c>
      <c r="G68" s="25">
        <v>77</v>
      </c>
      <c r="H68" s="25">
        <v>102</v>
      </c>
      <c r="I68" s="25">
        <v>85</v>
      </c>
      <c r="J68" s="25">
        <v>92</v>
      </c>
      <c r="K68" s="25">
        <v>69</v>
      </c>
      <c r="L68" s="25"/>
      <c r="M68" s="25"/>
      <c r="N68" s="98">
        <f>SUM(F68:M68)</f>
        <v>507</v>
      </c>
    </row>
    <row r="69" spans="1:50" x14ac:dyDescent="0.3">
      <c r="B69" t="s">
        <v>144</v>
      </c>
    </row>
    <row r="70" spans="1:50" x14ac:dyDescent="0.3">
      <c r="A70">
        <v>1</v>
      </c>
      <c r="B70" s="28" t="s">
        <v>27</v>
      </c>
      <c r="C70" s="29" t="str">
        <f>IF(B70="","",VLOOKUP(B70,Lookups!$A$2:$F$108,3,FALSE))</f>
        <v>AA</v>
      </c>
      <c r="D70" s="30" t="str">
        <f>IF(B70="","",VLOOKUP(B70,Lookups!$A$2:$F$109,6,FALSE))</f>
        <v>Weston Warriors</v>
      </c>
      <c r="E70" s="29">
        <f>IFERROR(VLOOKUP(C70,Lookups!$K$11:$L$16,2,FALSE),"")</f>
        <v>0</v>
      </c>
      <c r="F70" s="25">
        <f>IF($B70="","",IF(VLOOKUP($B70,Scores!$A$2:$I$100,2,FALSE)=0,"",VLOOKUP($B70,Scores!$A$2:$I$100,2,FALSE)+IF(VLOOKUP($B70,Scores!$A$2:$I$100,2,FALSE)=MAX(Calculations!$N$6:$N$105),1,0)+$E70))</f>
        <v>38</v>
      </c>
      <c r="G70" s="25">
        <f>IF($B70="","",IF(VLOOKUP($B70,Scores!$A$2:$I$100,3,FALSE)=0,"",VLOOKUP($B70,Scores!$A$2:$I$100,3,FALSE)+IF(VLOOKUP($B70,Scores!$A$2:$I$100,3,FALSE)=MAX(Calculations!$O$6:$O$105),1,0)+$E70))</f>
        <v>32</v>
      </c>
      <c r="H70" s="25">
        <f>IF($B70="","",IF(VLOOKUP($B70,Scores!$A$2:$I$100,4,FALSE)=0,"",VLOOKUP($B70,Scores!$A$2:$I$100,4,FALSE)+IF(VLOOKUP($B70,Scores!$A$2:$I$100,4,FALSE)=MAX(Calculations!$P$6:$P$105),1,0)+$E70))</f>
        <v>33</v>
      </c>
      <c r="I70" s="25">
        <f>IF($B70="","",IF(VLOOKUP($B70,Scores!$A$2:$I$100,5,FALSE)=0,"",VLOOKUP($B70,Scores!$A$2:$I$100,5,FALSE)+IF(VLOOKUP($B70,Scores!$A$2:$I$100,5,FALSE)=MAX(Calculations!$Q$6:$Q$105),1,0)+$E70))</f>
        <v>32</v>
      </c>
      <c r="J70" s="25">
        <f>IF($B70="","",IF(VLOOKUP($B70,Scores!$A$2:$I$100,6,FALSE)=0,"",VLOOKUP($B70,Scores!$A$2:$I$100,6,FALSE)+IF(VLOOKUP($B70,Scores!$A$2:$I$100,6,FALSE)=MAX(Calculations!$R$6:$R$105),1,0)+$E70))</f>
        <v>33</v>
      </c>
      <c r="K70" s="25">
        <f>IF($B70="","",IF(VLOOKUP($B70,Scores!$A$2:$I$100,7,FALSE)=0,"",VLOOKUP($B70,Scores!$A$2:$I$100,7,FALSE)+IF(VLOOKUP($B70,Scores!$A$2:$I$100,7,FALSE)=MAX(Calculations!$S$6:$S$105),1,0)+$E70))</f>
        <v>35</v>
      </c>
      <c r="L70" s="25" t="str">
        <f>IF($B70="","",IF(VLOOKUP($B70,Scores!$A$2:$I$100,8,FALSE)=0,"",VLOOKUP($B70,Scores!$A$2:$I$100,8,FALSE)+IF(VLOOKUP($B70,Scores!$A$2:$I$100,8,FALSE)=MAX(Calculations!$T$6:$T$105),1,0)+$E70))</f>
        <v/>
      </c>
      <c r="M70" s="25" t="str">
        <f>IF($B70="","",IF(VLOOKUP($B70,Scores!$A$2:$I$100,9,FALSE)=0,"",VLOOKUP($B70,Scores!$A$2:$I$100,9,FALSE)+IF(VLOOKUP($B70,Scores!$A$2:$I$100,9,FALSE)=MAX(Calculations!$U$6:$U$105),1,0)+$E70))</f>
        <v/>
      </c>
      <c r="N70" s="27">
        <f>SUM(F70:M70)</f>
        <v>203</v>
      </c>
      <c r="W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3">
      <c r="A71">
        <v>2</v>
      </c>
      <c r="B71" s="28" t="s">
        <v>32</v>
      </c>
      <c r="C71" s="29" t="str">
        <f>IF(B71="","",VLOOKUP(B71,Lookups!$A$2:$F$108,3,FALSE))</f>
        <v>AA</v>
      </c>
      <c r="D71" s="30" t="str">
        <f>IF(B71="","",VLOOKUP(B71,Lookups!$A$2:$F$109,6,FALSE))</f>
        <v>Weston Warriors</v>
      </c>
      <c r="E71" s="29">
        <f>IFERROR(VLOOKUP(C71,Lookups!$K$11:$L$16,2,FALSE),"")</f>
        <v>0</v>
      </c>
      <c r="F71" s="25">
        <f>IF($B71="","",IF(VLOOKUP($B71,Scores!$A$2:$I$100,2,FALSE)=0,"",VLOOKUP($B71,Scores!$A$2:$I$100,2,FALSE)+IF(VLOOKUP($B71,Scores!$A$2:$I$100,2,FALSE)=MAX(Calculations!$N$6:$N$105),1,0)+$E71))</f>
        <v>34</v>
      </c>
      <c r="G71" s="25">
        <f>IF($B71="","",IF(VLOOKUP($B71,Scores!$A$2:$I$100,3,FALSE)=0,"",VLOOKUP($B71,Scores!$A$2:$I$100,3,FALSE)+IF(VLOOKUP($B71,Scores!$A$2:$I$100,3,FALSE)=MAX(Calculations!$O$6:$O$105),1,0)+$E71))</f>
        <v>27</v>
      </c>
      <c r="H71" s="25">
        <f>IF($B71="","",IF(VLOOKUP($B71,Scores!$A$2:$I$100,4,FALSE)=0,"",VLOOKUP($B71,Scores!$A$2:$I$100,4,FALSE)+IF(VLOOKUP($B71,Scores!$A$2:$I$100,4,FALSE)=MAX(Calculations!$P$6:$P$105),1,0)+$E71))</f>
        <v>38</v>
      </c>
      <c r="I71" s="129"/>
      <c r="J71" s="25">
        <f>IF($B71="","",IF(VLOOKUP($B71,Scores!$A$2:$I$100,6,FALSE)=0,"",VLOOKUP($B71,Scores!$A$2:$I$100,6,FALSE)+IF(VLOOKUP($B71,Scores!$A$2:$I$100,6,FALSE)=MAX(Calculations!$R$6:$R$105),1,0)+$E71))</f>
        <v>32</v>
      </c>
      <c r="K71" s="25">
        <f>IF($B71="","",IF(VLOOKUP($B71,Scores!$A$2:$I$100,7,FALSE)=0,"",VLOOKUP($B71,Scores!$A$2:$I$100,7,FALSE)+IF(VLOOKUP($B71,Scores!$A$2:$I$100,7,FALSE)=MAX(Calculations!$S$6:$S$105),1,0)+$E71))</f>
        <v>36</v>
      </c>
      <c r="L71" s="25" t="str">
        <f>IF($B71="","",IF(VLOOKUP($B71,Scores!$A$2:$I$100,8,FALSE)=0,"",VLOOKUP($B71,Scores!$A$2:$I$100,8,FALSE)+IF(VLOOKUP($B71,Scores!$A$2:$I$100,8,FALSE)=MAX(Calculations!$T$6:$T$105),1,0)+$E71))</f>
        <v/>
      </c>
      <c r="M71" s="25" t="str">
        <f>IF($B71="","",IF(VLOOKUP($B71,Scores!$A$2:$I$100,9,FALSE)=0,"",VLOOKUP($B71,Scores!$A$2:$I$100,9,FALSE)+IF(VLOOKUP($B71,Scores!$A$2:$I$100,9,FALSE)=MAX(Calculations!$U$6:$U$105),1,0)+$E71))</f>
        <v/>
      </c>
      <c r="N71" s="27">
        <f t="shared" ref="N71:N75" si="32">SUM(F71:M71)</f>
        <v>167</v>
      </c>
      <c r="W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50" x14ac:dyDescent="0.3">
      <c r="A72">
        <v>3</v>
      </c>
      <c r="B72" s="28" t="s">
        <v>13</v>
      </c>
      <c r="C72" s="29" t="str">
        <f>IF(B72="","",VLOOKUP(B72,Lookups!$A$2:$F$108,3,FALSE))</f>
        <v>A</v>
      </c>
      <c r="D72" s="30" t="str">
        <f>IF(B72="","",VLOOKUP(B72,Lookups!$A$2:$F$109,6,FALSE))</f>
        <v>Weston Warriors</v>
      </c>
      <c r="E72" s="29">
        <f>IFERROR(VLOOKUP(C72,Lookups!$K$11:$L$16,2,FALSE),"")</f>
        <v>1</v>
      </c>
      <c r="F72" s="25">
        <f>IF($B72="","",IF(VLOOKUP($B72,Scores!$A$2:$I$100,2,FALSE)=0,"",VLOOKUP($B72,Scores!$A$2:$I$100,2,FALSE)+IF(VLOOKUP($B72,Scores!$A$2:$I$100,2,FALSE)=MAX(Calculations!$N$6:$N$105),1,0)+$E72))</f>
        <v>30</v>
      </c>
      <c r="G72" s="25">
        <f>IF($B72="","",IF(VLOOKUP($B72,Scores!$A$2:$I$100,3,FALSE)=0,"",VLOOKUP($B72,Scores!$A$2:$I$100,3,FALSE)+IF(VLOOKUP($B72,Scores!$A$2:$I$100,3,FALSE)=MAX(Calculations!$O$6:$O$105),1,0)+$E72))</f>
        <v>25</v>
      </c>
      <c r="H72" s="25">
        <f>IF($B72="","",IF(VLOOKUP($B72,Scores!$A$2:$I$100,4,FALSE)=0,"",VLOOKUP($B72,Scores!$A$2:$I$100,4,FALSE)+IF(VLOOKUP($B72,Scores!$A$2:$I$100,4,FALSE)=MAX(Calculations!$P$6:$P$105),1,0)+$E72))</f>
        <v>31</v>
      </c>
      <c r="I72" s="25">
        <f>IF($B72="","",IF(VLOOKUP($B72,Scores!$A$2:$I$100,5,FALSE)=0,"",VLOOKUP($B72,Scores!$A$2:$I$100,5,FALSE)+IF(VLOOKUP($B72,Scores!$A$2:$I$100,5,FALSE)=MAX(Calculations!$Q$6:$Q$105),1,0)+$E72))</f>
        <v>30</v>
      </c>
      <c r="J72" s="25"/>
      <c r="K72" s="25"/>
      <c r="L72" s="25" t="str">
        <f>IF($B72="","",IF(VLOOKUP($B72,Scores!$A$2:$I$100,8,FALSE)=0,"",VLOOKUP($B72,Scores!$A$2:$I$100,8,FALSE)+IF(VLOOKUP($B72,Scores!$A$2:$I$100,8,FALSE)=MAX(Calculations!$T$6:$T$105),1,0)+$E72))</f>
        <v/>
      </c>
      <c r="M72" s="25" t="str">
        <f>IF($B72="","",IF(VLOOKUP($B72,Scores!$A$2:$I$100,9,FALSE)=0,"",VLOOKUP($B72,Scores!$A$2:$I$100,9,FALSE)+IF(VLOOKUP($B72,Scores!$A$2:$I$100,9,FALSE)=MAX(Calculations!$U$6:$U$105),1,0)+$E72))</f>
        <v/>
      </c>
      <c r="N72" s="27">
        <f t="shared" si="32"/>
        <v>116</v>
      </c>
      <c r="W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50" x14ac:dyDescent="0.3">
      <c r="A73">
        <v>4</v>
      </c>
      <c r="B73" s="28" t="s">
        <v>16</v>
      </c>
      <c r="C73" s="29" t="str">
        <f>IF(B73="","",VLOOKUP(B73,Lookups!$A$2:$F$108,3,FALSE))</f>
        <v>A</v>
      </c>
      <c r="D73" s="30" t="str">
        <f>IF(B73="","",VLOOKUP(B73,Lookups!$A$2:$F$109,6,FALSE))</f>
        <v>Weston Warriors</v>
      </c>
      <c r="E73" s="29">
        <f>IFERROR(VLOOKUP(C73,Lookups!$K$11:$L$16,2,FALSE),"")</f>
        <v>1</v>
      </c>
      <c r="F73" s="25">
        <f>IF($B73="","",IF(VLOOKUP($B73,Scores!$A$2:$I$100,2,FALSE)=0,"",VLOOKUP($B73,Scores!$A$2:$I$100,2,FALSE)+IF(VLOOKUP($B73,Scores!$A$2:$I$100,2,FALSE)=MAX(Calculations!$N$6:$N$105),1,0)+$E73))</f>
        <v>35</v>
      </c>
      <c r="G73" s="25">
        <f>IF($B73="","",IF(VLOOKUP($B73,Scores!$A$2:$I$100,3,FALSE)=0,"",VLOOKUP($B73,Scores!$A$2:$I$100,3,FALSE)+IF(VLOOKUP($B73,Scores!$A$2:$I$100,3,FALSE)=MAX(Calculations!$O$6:$O$105),1,0)+$E73))</f>
        <v>30</v>
      </c>
      <c r="H73" s="25">
        <f>IF($B73="","",IF(VLOOKUP($B73,Scores!$A$2:$I$100,4,FALSE)=0,"",VLOOKUP($B73,Scores!$A$2:$I$100,4,FALSE)+IF(VLOOKUP($B73,Scores!$A$2:$I$100,4,FALSE)=MAX(Calculations!$P$6:$P$105),1,0)+$E73))</f>
        <v>35</v>
      </c>
      <c r="I73" s="25">
        <f>IF($B73="","",IF(VLOOKUP($B73,Scores!$A$2:$I$100,5,FALSE)=0,"",VLOOKUP($B73,Scores!$A$2:$I$100,5,FALSE)+IF(VLOOKUP($B73,Scores!$A$2:$I$100,5,FALSE)=MAX(Calculations!$Q$6:$Q$105),1,0)+$E73))</f>
        <v>33</v>
      </c>
      <c r="J73" s="25">
        <f>IF($B73="","",IF(VLOOKUP($B73,Scores!$A$2:$I$100,6,FALSE)=0,"",VLOOKUP($B73,Scores!$A$2:$I$100,6,FALSE)+IF(VLOOKUP($B73,Scores!$A$2:$I$100,6,FALSE)=MAX(Calculations!$R$6:$R$105),1,0)+$E73))</f>
        <v>38</v>
      </c>
      <c r="K73" s="25">
        <f>IF($B73="","",IF(VLOOKUP($B73,Scores!$A$2:$I$100,7,FALSE)=0,"",VLOOKUP($B73,Scores!$A$2:$I$100,7,FALSE)+IF(VLOOKUP($B73,Scores!$A$2:$I$100,7,FALSE)=MAX(Calculations!$S$6:$S$105),1,0)+$E73))</f>
        <v>35</v>
      </c>
      <c r="L73" s="25" t="str">
        <f>IF($B73="","",IF(VLOOKUP($B73,Scores!$A$2:$I$100,8,FALSE)=0,"",VLOOKUP($B73,Scores!$A$2:$I$100,8,FALSE)+IF(VLOOKUP($B73,Scores!$A$2:$I$100,8,FALSE)=MAX(Calculations!$T$6:$T$105),1,0)+$E73))</f>
        <v/>
      </c>
      <c r="M73" s="25" t="str">
        <f>IF($B73="","",IF(VLOOKUP($B73,Scores!$A$2:$I$100,9,FALSE)=0,"",VLOOKUP($B73,Scores!$A$2:$I$100,9,FALSE)+IF(VLOOKUP($B73,Scores!$A$2:$I$100,9,FALSE)=MAX(Calculations!$U$6:$U$105),1,0)+$E73))</f>
        <v/>
      </c>
      <c r="N73" s="27">
        <f t="shared" si="32"/>
        <v>206</v>
      </c>
      <c r="W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50" x14ac:dyDescent="0.3">
      <c r="A74">
        <v>5</v>
      </c>
      <c r="B74" s="28" t="s">
        <v>51</v>
      </c>
      <c r="C74" s="29" t="str">
        <f>IF(B74="","",VLOOKUP(B74,Lookups!$A$2:$F$108,3,FALSE))</f>
        <v>B</v>
      </c>
      <c r="D74" s="30" t="str">
        <f>IF(B74="","",VLOOKUP(B74,Lookups!$A$2:$F$109,6,FALSE))</f>
        <v>Weston Warriors</v>
      </c>
      <c r="E74" s="29">
        <f>IFERROR(VLOOKUP(C74,Lookups!$K$11:$L$16,2,FALSE),"")</f>
        <v>3</v>
      </c>
      <c r="F74" s="25">
        <f>IF($B74="","",IF(VLOOKUP($B74,Scores!$A$2:$I$100,2,FALSE)=0,"",VLOOKUP($B74,Scores!$A$2:$I$100,2,FALSE)+IF(VLOOKUP($B74,Scores!$A$2:$I$100,2,FALSE)=MAX(Calculations!$N$6:$N$105),1,0)+$E74))</f>
        <v>21</v>
      </c>
      <c r="G74" s="25">
        <f>IF($B74="","",IF(VLOOKUP($B74,Scores!$A$2:$I$100,3,FALSE)=0,"",VLOOKUP($B74,Scores!$A$2:$I$100,3,FALSE)+IF(VLOOKUP($B74,Scores!$A$2:$I$100,3,FALSE)=MAX(Calculations!$O$6:$O$105),1,0)+$E74))</f>
        <v>23</v>
      </c>
      <c r="H74" s="25">
        <f>IF($B74="","",IF(VLOOKUP($B74,Scores!$A$2:$I$100,4,FALSE)=0,"",VLOOKUP($B74,Scores!$A$2:$I$100,4,FALSE)+IF(VLOOKUP($B74,Scores!$A$2:$I$100,4,FALSE)=MAX(Calculations!$P$6:$P$105),1,0)+$E74))</f>
        <v>28</v>
      </c>
      <c r="I74" s="25" t="str">
        <f>IF($B74="","",IF(VLOOKUP($B74,Scores!$A$2:$I$100,5,FALSE)=0,"",VLOOKUP($B74,Scores!$A$2:$I$100,5,FALSE)+IF(VLOOKUP($B74,Scores!$A$2:$I$100,5,FALSE)=MAX(Calculations!$Q$6:$Q$105),1,0)+$E74))</f>
        <v/>
      </c>
      <c r="J74" s="25" t="str">
        <f>IF($B74="","",IF(VLOOKUP($B74,Scores!$A$2:$I$100,6,FALSE)=0,"",VLOOKUP($B74,Scores!$A$2:$I$100,6,FALSE)+IF(VLOOKUP($B74,Scores!$A$2:$I$100,6,FALSE)=MAX(Calculations!$R$6:$R$105),1,0)+$E74))</f>
        <v/>
      </c>
      <c r="K74" s="25" t="str">
        <f>IF($B74="","",IF(VLOOKUP($B74,Scores!$A$2:$I$100,7,FALSE)=0,"",VLOOKUP($B74,Scores!$A$2:$I$100,7,FALSE)+IF(VLOOKUP($B74,Scores!$A$2:$I$100,7,FALSE)=MAX(Calculations!$S$6:$S$105),1,0)+$E74))</f>
        <v/>
      </c>
      <c r="L74" s="25" t="str">
        <f>IF($B74="","",IF(VLOOKUP($B74,Scores!$A$2:$I$100,8,FALSE)=0,"",VLOOKUP($B74,Scores!$A$2:$I$100,8,FALSE)+IF(VLOOKUP($B74,Scores!$A$2:$I$100,8,FALSE)=MAX(Calculations!$T$6:$T$105),1,0)+$E74))</f>
        <v/>
      </c>
      <c r="M74" s="25" t="str">
        <f>IF($B74="","",IF(VLOOKUP($B74,Scores!$A$2:$I$100,9,FALSE)=0,"",VLOOKUP($B74,Scores!$A$2:$I$100,9,FALSE)+IF(VLOOKUP($B74,Scores!$A$2:$I$100,9,FALSE)=MAX(Calculations!$U$6:$U$105),1,0)+$E74))</f>
        <v/>
      </c>
      <c r="N74" s="27">
        <f t="shared" si="32"/>
        <v>72</v>
      </c>
      <c r="W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50" x14ac:dyDescent="0.3">
      <c r="A75">
        <v>6</v>
      </c>
      <c r="B75" s="28" t="s">
        <v>172</v>
      </c>
      <c r="C75" s="29" t="str">
        <f>IF(B75="","",VLOOKUP(B75,Lookups!$A$2:$F$108,3,FALSE))</f>
        <v>U/G</v>
      </c>
      <c r="D75" s="30" t="str">
        <f>IF(B75="","",VLOOKUP(B75,Lookups!$A$2:$F$109,6,FALSE))</f>
        <v>Weston Warriors</v>
      </c>
      <c r="E75" s="29">
        <f>IFERROR(VLOOKUP(C75,Lookups!$K$11:$L$16,2,FALSE),"")</f>
        <v>0</v>
      </c>
      <c r="F75" s="25" t="str">
        <f>IF($B75="","",IF(VLOOKUP($B75,Scores!$A$2:$I$100,2,FALSE)=0,"",VLOOKUP($B75,Scores!$A$2:$I$100,2,FALSE)+IF(VLOOKUP($B75,Scores!$A$2:$I$100,2,FALSE)=MAX(Calculations!$N$6:$N$105),1,0)+$E75))</f>
        <v/>
      </c>
      <c r="G75" s="25" t="str">
        <f>IF($B75="","",IF(VLOOKUP($B75,Scores!$A$2:$I$100,3,FALSE)=0,"",VLOOKUP($B75,Scores!$A$2:$I$100,3,FALSE)+IF(VLOOKUP($B75,Scores!$A$2:$I$100,3,FALSE)=MAX(Calculations!$O$6:$O$105),1,0)+$E75))</f>
        <v/>
      </c>
      <c r="H75" s="25" t="str">
        <f>IF($B75="","",IF(VLOOKUP($B75,Scores!$A$2:$I$100,4,FALSE)=0,"",VLOOKUP($B75,Scores!$A$2:$I$100,4,FALSE)+IF(VLOOKUP($B75,Scores!$A$2:$I$100,4,FALSE)=MAX(Calculations!$P$6:$P$105),1,0)+$E75))</f>
        <v/>
      </c>
      <c r="I75" s="25" t="str">
        <f>IF($B75="","",IF(VLOOKUP($B75,Scores!$A$2:$I$100,5,FALSE)=0,"",VLOOKUP($B75,Scores!$A$2:$I$100,5,FALSE)+IF(VLOOKUP($B75,Scores!$A$2:$I$100,5,FALSE)=MAX(Calculations!$Q$6:$Q$105),1,0)+$E75))</f>
        <v/>
      </c>
      <c r="J75" s="25" t="str">
        <f>IF($B75="","",IF(VLOOKUP($B75,Scores!$A$2:$I$100,6,FALSE)=0,"",VLOOKUP($B75,Scores!$A$2:$I$100,6,FALSE)+IF(VLOOKUP($B75,Scores!$A$2:$I$100,6,FALSE)=MAX(Calculations!$R$6:$R$105),1,0)+$E75))</f>
        <v/>
      </c>
      <c r="K75" s="25" t="str">
        <f>IF($B75="","",IF(VLOOKUP($B75,Scores!$A$2:$I$100,7,FALSE)=0,"",VLOOKUP($B75,Scores!$A$2:$I$100,7,FALSE)+IF(VLOOKUP($B75,Scores!$A$2:$I$100,7,FALSE)=MAX(Calculations!$S$6:$S$105),1,0)+$E75))</f>
        <v/>
      </c>
      <c r="L75" s="25" t="str">
        <f>IF($B75="","",IF(VLOOKUP($B75,Scores!$A$2:$I$100,8,FALSE)=0,"",VLOOKUP($B75,Scores!$A$2:$I$100,8,FALSE)+IF(VLOOKUP($B75,Scores!$A$2:$I$100,8,FALSE)=MAX(Calculations!$T$6:$T$105),1,0)+$E75))</f>
        <v/>
      </c>
      <c r="M75" s="25" t="str">
        <f>IF($B75="","",IF(VLOOKUP($B75,Scores!$A$2:$I$100,9,FALSE)=0,"",VLOOKUP($B75,Scores!$A$2:$I$100,9,FALSE)+IF(VLOOKUP($B75,Scores!$A$2:$I$100,9,FALSE)=MAX(Calculations!$U$6:$U$105),1,0)+$E75))</f>
        <v/>
      </c>
      <c r="N75" s="27">
        <f t="shared" si="32"/>
        <v>0</v>
      </c>
      <c r="W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50" ht="15" thickBot="1" x14ac:dyDescent="0.35">
      <c r="C76" s="36"/>
      <c r="E76" s="120" t="s">
        <v>192</v>
      </c>
      <c r="F76" s="25"/>
      <c r="G76" s="25"/>
      <c r="H76" s="25"/>
      <c r="I76" s="25">
        <v>25</v>
      </c>
      <c r="J76" s="25">
        <v>26</v>
      </c>
      <c r="K76" s="25">
        <v>28</v>
      </c>
      <c r="L76" s="25"/>
      <c r="M76" s="25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50" ht="15" thickBot="1" x14ac:dyDescent="0.35">
      <c r="E77" s="31" t="s">
        <v>160</v>
      </c>
      <c r="F77" s="25">
        <v>128</v>
      </c>
      <c r="G77" s="25">
        <v>112</v>
      </c>
      <c r="H77" s="25">
        <v>134</v>
      </c>
      <c r="I77" s="25">
        <v>120</v>
      </c>
      <c r="J77" s="25">
        <v>129</v>
      </c>
      <c r="K77" s="25">
        <v>134</v>
      </c>
      <c r="L77" s="25"/>
      <c r="M77" s="25"/>
      <c r="N77" s="98">
        <f>SUM(F77:M77)</f>
        <v>757</v>
      </c>
    </row>
    <row r="78" spans="1:50" hidden="1" x14ac:dyDescent="0.3">
      <c r="B78" t="s">
        <v>145</v>
      </c>
    </row>
    <row r="79" spans="1:50" hidden="1" x14ac:dyDescent="0.3">
      <c r="A79">
        <v>1</v>
      </c>
      <c r="B79" s="28"/>
      <c r="C79" s="29" t="str">
        <f>IF(B79="","",VLOOKUP(B79,Lookups!$A$2:$F$108,3,FALSE))</f>
        <v/>
      </c>
      <c r="D79" s="30" t="str">
        <f>IF(B79="","",VLOOKUP(B79,Lookups!$A$2:$F$109,6,FALSE))</f>
        <v/>
      </c>
      <c r="E79" s="29" t="str">
        <f>IFERROR(VLOOKUP(C79,Lookups!$K$11:$L$16,2,FALSE),"")</f>
        <v/>
      </c>
      <c r="F79" s="25" t="str">
        <f>IF($B79="","",IF(VLOOKUP($B79,Scores!$A$2:$I$100,2,FALSE)=0,"",VLOOKUP($B79,Scores!$A$2:$I$100,2,FALSE)+IF(VLOOKUP($B79,Scores!$A$2:$I$100,2,FALSE)=MAX(Calculations!$N$6:$N$105),1,0)+$E79))</f>
        <v/>
      </c>
      <c r="G79" s="25" t="str">
        <f>IF($B79="","",IF(VLOOKUP($B79,Scores!$A$2:$I$100,3,FALSE)=0,"",VLOOKUP($B79,Scores!$A$2:$I$100,3,FALSE)+IF(VLOOKUP($B79,Scores!$A$2:$I$100,3,FALSE)=MAX(Calculations!$O$6:$O$105),1,0)+$E79))</f>
        <v/>
      </c>
      <c r="H79" s="25" t="str">
        <f>IF($B79="","",IF(VLOOKUP($B79,Scores!$A$2:$I$100,4,FALSE)=0,"",VLOOKUP($B79,Scores!$A$2:$I$100,4,FALSE)+IF(VLOOKUP($B79,Scores!$A$2:$I$100,4,FALSE)=MAX(Calculations!$P$6:$P$105),1,0)+$E79))</f>
        <v/>
      </c>
      <c r="I79" s="25" t="str">
        <f>IF($B79="","",IF(VLOOKUP($B79,Scores!$A$2:$I$100,5,FALSE)=0,"",VLOOKUP($B79,Scores!$A$2:$I$100,5,FALSE)+IF(VLOOKUP($B79,Scores!$A$2:$I$100,5,FALSE)=MAX(Calculations!$Q$6:$Q$105),1,0)+$E79))</f>
        <v/>
      </c>
      <c r="J79" s="25" t="str">
        <f>IF($B79="","",IF(VLOOKUP($B79,Scores!$A$2:$I$100,6,FALSE)=0,"",VLOOKUP($B79,Scores!$A$2:$I$100,6,FALSE)+IF(VLOOKUP($B79,Scores!$A$2:$I$100,6,FALSE)=MAX(Calculations!$R$6:$R$105),1,0)+$E79))</f>
        <v/>
      </c>
      <c r="K79" s="25" t="str">
        <f>IF($B79="","",IF(VLOOKUP($B79,Scores!$A$2:$I$100,7,FALSE)=0,"",VLOOKUP($B79,Scores!$A$2:$I$100,7,FALSE)+IF(VLOOKUP($B79,Scores!$A$2:$I$100,7,FALSE)=MAX(Calculations!$S$6:$S$105),1,0)+$E79))</f>
        <v/>
      </c>
      <c r="L79" s="25" t="str">
        <f>IF($B79="","",IF(VLOOKUP($B79,Scores!$A$2:$I$100,8,FALSE)=0,"",VLOOKUP($B79,Scores!$A$2:$I$100,8,FALSE)+IF(VLOOKUP($B79,Scores!$A$2:$I$100,8,FALSE)=MAX(Calculations!$T$6:$T$105),1,0)+$E79))</f>
        <v/>
      </c>
      <c r="M79" s="25" t="str">
        <f>IF($B79="","",IF(VLOOKUP($B79,Scores!$A$2:$I$100,9,FALSE)=0,"",VLOOKUP($B79,Scores!$A$2:$I$100,9,FALSE)+IF(VLOOKUP($B79,Scores!$A$2:$I$100,9,FALSE)=MAX(Calculations!$U$6:$U$105),1,0)+$E79))</f>
        <v/>
      </c>
      <c r="N79" s="27">
        <f>SUM(F79:M79)</f>
        <v>0</v>
      </c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50" hidden="1" x14ac:dyDescent="0.3">
      <c r="A80">
        <v>2</v>
      </c>
      <c r="B80" s="28"/>
      <c r="C80" s="29" t="str">
        <f>IF(B80="","",VLOOKUP(B80,Lookups!$A$2:$F$108,3,FALSE))</f>
        <v/>
      </c>
      <c r="D80" s="30" t="str">
        <f>IF(B80="","",VLOOKUP(B80,Lookups!$A$2:$F$109,6,FALSE))</f>
        <v/>
      </c>
      <c r="E80" s="29" t="str">
        <f>IFERROR(VLOOKUP(C80,Lookups!$K$11:$L$16,2,FALSE),"")</f>
        <v/>
      </c>
      <c r="F80" s="25" t="str">
        <f>IF($B80="","",IF(VLOOKUP($B80,Scores!$A$2:$I$100,2,FALSE)=0,"",VLOOKUP($B80,Scores!$A$2:$I$100,2,FALSE)+IF(VLOOKUP($B80,Scores!$A$2:$I$100,2,FALSE)=MAX(Calculations!$N$6:$N$105),1,0)+$E80))</f>
        <v/>
      </c>
      <c r="G80" s="25" t="str">
        <f>IF($B80="","",IF(VLOOKUP($B80,Scores!$A$2:$I$100,3,FALSE)=0,"",VLOOKUP($B80,Scores!$A$2:$I$100,3,FALSE)+IF(VLOOKUP($B80,Scores!$A$2:$I$100,3,FALSE)=MAX(Calculations!$O$6:$O$105),1,0)+$E80))</f>
        <v/>
      </c>
      <c r="H80" s="25" t="str">
        <f>IF($B80="","",IF(VLOOKUP($B80,Scores!$A$2:$I$100,4,FALSE)=0,"",VLOOKUP($B80,Scores!$A$2:$I$100,4,FALSE)+IF(VLOOKUP($B80,Scores!$A$2:$I$100,4,FALSE)=MAX(Calculations!$P$6:$P$105),1,0)+$E80))</f>
        <v/>
      </c>
      <c r="I80" s="25" t="str">
        <f>IF($B80="","",IF(VLOOKUP($B80,Scores!$A$2:$I$100,5,FALSE)=0,"",VLOOKUP($B80,Scores!$A$2:$I$100,5,FALSE)+IF(VLOOKUP($B80,Scores!$A$2:$I$100,5,FALSE)=MAX(Calculations!$Q$6:$Q$105),1,0)+$E80))</f>
        <v/>
      </c>
      <c r="J80" s="25" t="str">
        <f>IF($B80="","",IF(VLOOKUP($B80,Scores!$A$2:$I$100,6,FALSE)=0,"",VLOOKUP($B80,Scores!$A$2:$I$100,6,FALSE)+IF(VLOOKUP($B80,Scores!$A$2:$I$100,6,FALSE)=MAX(Calculations!$R$6:$R$105),1,0)+$E80))</f>
        <v/>
      </c>
      <c r="K80" s="25" t="str">
        <f>IF($B80="","",IF(VLOOKUP($B80,Scores!$A$2:$I$100,7,FALSE)=0,"",VLOOKUP($B80,Scores!$A$2:$I$100,7,FALSE)+IF(VLOOKUP($B80,Scores!$A$2:$I$100,7,FALSE)=MAX(Calculations!$S$6:$S$105),1,0)+$E80))</f>
        <v/>
      </c>
      <c r="L80" s="25" t="str">
        <f>IF($B80="","",IF(VLOOKUP($B80,Scores!$A$2:$I$100,8,FALSE)=0,"",VLOOKUP($B80,Scores!$A$2:$I$100,8,FALSE)+IF(VLOOKUP($B80,Scores!$A$2:$I$100,8,FALSE)=MAX(Calculations!$T$6:$T$105),1,0)+$E80))</f>
        <v/>
      </c>
      <c r="M80" s="25" t="str">
        <f>IF($B80="","",IF(VLOOKUP($B80,Scores!$A$2:$I$100,9,FALSE)=0,"",VLOOKUP($B80,Scores!$A$2:$I$100,9,FALSE)+IF(VLOOKUP($B80,Scores!$A$2:$I$100,9,FALSE)=MAX(Calculations!$U$6:$U$105),1,0)+$E80))</f>
        <v/>
      </c>
      <c r="N80" s="27">
        <f t="shared" ref="N80:N84" si="33">SUM(F80:M80)</f>
        <v>0</v>
      </c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 hidden="1" x14ac:dyDescent="0.3">
      <c r="A81">
        <v>3</v>
      </c>
      <c r="B81" s="28"/>
      <c r="C81" s="29" t="str">
        <f>IF(B81="","",VLOOKUP(B81,Lookups!$A$2:$F$108,3,FALSE))</f>
        <v/>
      </c>
      <c r="D81" s="30" t="str">
        <f>IF(B81="","",VLOOKUP(B81,Lookups!$A$2:$F$109,6,FALSE))</f>
        <v/>
      </c>
      <c r="E81" s="29" t="str">
        <f>IFERROR(VLOOKUP(C81,Lookups!$K$11:$L$16,2,FALSE),"")</f>
        <v/>
      </c>
      <c r="F81" s="25" t="str">
        <f>IF($B81="","",IF(VLOOKUP($B81,Scores!$A$2:$I$100,2,FALSE)=0,"",VLOOKUP($B81,Scores!$A$2:$I$100,2,FALSE)+IF(VLOOKUP($B81,Scores!$A$2:$I$100,2,FALSE)=MAX(Calculations!$N$6:$N$105),1,0)+$E81))</f>
        <v/>
      </c>
      <c r="G81" s="25" t="str">
        <f>IF($B81="","",IF(VLOOKUP($B81,Scores!$A$2:$I$100,3,FALSE)=0,"",VLOOKUP($B81,Scores!$A$2:$I$100,3,FALSE)+IF(VLOOKUP($B81,Scores!$A$2:$I$100,3,FALSE)=MAX(Calculations!$O$6:$O$105),1,0)+$E81))</f>
        <v/>
      </c>
      <c r="H81" s="25" t="str">
        <f>IF($B81="","",IF(VLOOKUP($B81,Scores!$A$2:$I$100,4,FALSE)=0,"",VLOOKUP($B81,Scores!$A$2:$I$100,4,FALSE)+IF(VLOOKUP($B81,Scores!$A$2:$I$100,4,FALSE)=MAX(Calculations!$P$6:$P$105),1,0)+$E81))</f>
        <v/>
      </c>
      <c r="I81" s="25" t="str">
        <f>IF($B81="","",IF(VLOOKUP($B81,Scores!$A$2:$I$100,5,FALSE)=0,"",VLOOKUP($B81,Scores!$A$2:$I$100,5,FALSE)+IF(VLOOKUP($B81,Scores!$A$2:$I$100,5,FALSE)=MAX(Calculations!$Q$6:$Q$105),1,0)+$E81))</f>
        <v/>
      </c>
      <c r="J81" s="25" t="str">
        <f>IF($B81="","",IF(VLOOKUP($B81,Scores!$A$2:$I$100,6,FALSE)=0,"",VLOOKUP($B81,Scores!$A$2:$I$100,6,FALSE)+IF(VLOOKUP($B81,Scores!$A$2:$I$100,6,FALSE)=MAX(Calculations!$R$6:$R$105),1,0)+$E81))</f>
        <v/>
      </c>
      <c r="K81" s="25" t="str">
        <f>IF($B81="","",IF(VLOOKUP($B81,Scores!$A$2:$I$100,7,FALSE)=0,"",VLOOKUP($B81,Scores!$A$2:$I$100,7,FALSE)+IF(VLOOKUP($B81,Scores!$A$2:$I$100,7,FALSE)=MAX(Calculations!$S$6:$S$105),1,0)+$E81))</f>
        <v/>
      </c>
      <c r="L81" s="25" t="str">
        <f>IF($B81="","",IF(VLOOKUP($B81,Scores!$A$2:$I$100,8,FALSE)=0,"",VLOOKUP($B81,Scores!$A$2:$I$100,8,FALSE)+IF(VLOOKUP($B81,Scores!$A$2:$I$100,8,FALSE)=MAX(Calculations!$T$6:$T$105),1,0)+$E81))</f>
        <v/>
      </c>
      <c r="M81" s="25" t="str">
        <f>IF($B81="","",IF(VLOOKUP($B81,Scores!$A$2:$I$100,9,FALSE)=0,"",VLOOKUP($B81,Scores!$A$2:$I$100,9,FALSE)+IF(VLOOKUP($B81,Scores!$A$2:$I$100,9,FALSE)=MAX(Calculations!$U$6:$U$105),1,0)+$E81))</f>
        <v/>
      </c>
      <c r="N81" s="27">
        <f t="shared" si="33"/>
        <v>0</v>
      </c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 hidden="1" x14ac:dyDescent="0.3">
      <c r="A82">
        <v>4</v>
      </c>
      <c r="B82" s="28"/>
      <c r="C82" s="29" t="str">
        <f>IF(B82="","",VLOOKUP(B82,Lookups!$A$2:$F$108,3,FALSE))</f>
        <v/>
      </c>
      <c r="D82" s="30" t="str">
        <f>IF(B82="","",VLOOKUP(B82,Lookups!$A$2:$F$109,6,FALSE))</f>
        <v/>
      </c>
      <c r="E82" s="29" t="str">
        <f>IFERROR(VLOOKUP(C82,Lookups!$K$11:$L$16,2,FALSE),"")</f>
        <v/>
      </c>
      <c r="F82" s="25" t="str">
        <f>IF($B82="","",IF(VLOOKUP($B82,Scores!$A$2:$I$100,2,FALSE)=0,"",VLOOKUP($B82,Scores!$A$2:$I$100,2,FALSE)+IF(VLOOKUP($B82,Scores!$A$2:$I$100,2,FALSE)=MAX(Calculations!$N$6:$N$105),1,0)+$E82))</f>
        <v/>
      </c>
      <c r="G82" s="25" t="str">
        <f>IF($B82="","",IF(VLOOKUP($B82,Scores!$A$2:$I$100,3,FALSE)=0,"",VLOOKUP($B82,Scores!$A$2:$I$100,3,FALSE)+IF(VLOOKUP($B82,Scores!$A$2:$I$100,3,FALSE)=MAX(Calculations!$O$6:$O$105),1,0)+$E82))</f>
        <v/>
      </c>
      <c r="H82" s="25" t="str">
        <f>IF($B82="","",IF(VLOOKUP($B82,Scores!$A$2:$I$100,4,FALSE)=0,"",VLOOKUP($B82,Scores!$A$2:$I$100,4,FALSE)+IF(VLOOKUP($B82,Scores!$A$2:$I$100,4,FALSE)=MAX(Calculations!$P$6:$P$105),1,0)+$E82))</f>
        <v/>
      </c>
      <c r="I82" s="25" t="str">
        <f>IF($B82="","",IF(VLOOKUP($B82,Scores!$A$2:$I$100,5,FALSE)=0,"",VLOOKUP($B82,Scores!$A$2:$I$100,5,FALSE)+IF(VLOOKUP($B82,Scores!$A$2:$I$100,5,FALSE)=MAX(Calculations!$Q$6:$Q$105),1,0)+$E82))</f>
        <v/>
      </c>
      <c r="J82" s="25" t="str">
        <f>IF($B82="","",IF(VLOOKUP($B82,Scores!$A$2:$I$100,6,FALSE)=0,"",VLOOKUP($B82,Scores!$A$2:$I$100,6,FALSE)+IF(VLOOKUP($B82,Scores!$A$2:$I$100,6,FALSE)=MAX(Calculations!$R$6:$R$105),1,0)+$E82))</f>
        <v/>
      </c>
      <c r="K82" s="25" t="str">
        <f>IF($B82="","",IF(VLOOKUP($B82,Scores!$A$2:$I$100,7,FALSE)=0,"",VLOOKUP($B82,Scores!$A$2:$I$100,7,FALSE)+IF(VLOOKUP($B82,Scores!$A$2:$I$100,7,FALSE)=MAX(Calculations!$S$6:$S$105),1,0)+$E82))</f>
        <v/>
      </c>
      <c r="L82" s="25" t="str">
        <f>IF($B82="","",IF(VLOOKUP($B82,Scores!$A$2:$I$100,8,FALSE)=0,"",VLOOKUP($B82,Scores!$A$2:$I$100,8,FALSE)+IF(VLOOKUP($B82,Scores!$A$2:$I$100,8,FALSE)=MAX(Calculations!$T$6:$T$105),1,0)+$E82))</f>
        <v/>
      </c>
      <c r="M82" s="25" t="str">
        <f>IF($B82="","",IF(VLOOKUP($B82,Scores!$A$2:$I$100,9,FALSE)=0,"",VLOOKUP($B82,Scores!$A$2:$I$100,9,FALSE)+IF(VLOOKUP($B82,Scores!$A$2:$I$100,9,FALSE)=MAX(Calculations!$U$6:$U$105),1,0)+$E82))</f>
        <v/>
      </c>
      <c r="N82" s="27">
        <f t="shared" si="33"/>
        <v>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pans="1:44" hidden="1" x14ac:dyDescent="0.3">
      <c r="A83">
        <v>5</v>
      </c>
      <c r="B83" s="28"/>
      <c r="C83" s="29" t="str">
        <f>IF(B83="","",VLOOKUP(B83,Lookups!$A$2:$F$108,3,FALSE))</f>
        <v/>
      </c>
      <c r="D83" s="30" t="str">
        <f>IF(B83="","",VLOOKUP(B83,Lookups!$A$2:$F$109,6,FALSE))</f>
        <v/>
      </c>
      <c r="E83" s="29" t="str">
        <f>IFERROR(VLOOKUP(C83,Lookups!$K$11:$L$16,2,FALSE),"")</f>
        <v/>
      </c>
      <c r="F83" s="25" t="str">
        <f>IF($B83="","",IF(VLOOKUP($B83,Scores!$A$2:$I$100,2,FALSE)=0,"",VLOOKUP($B83,Scores!$A$2:$I$100,2,FALSE)+IF(VLOOKUP($B83,Scores!$A$2:$I$100,2,FALSE)=MAX(Calculations!$N$6:$N$105),1,0)+$E83))</f>
        <v/>
      </c>
      <c r="G83" s="25" t="str">
        <f>IF($B83="","",IF(VLOOKUP($B83,Scores!$A$2:$I$100,3,FALSE)=0,"",VLOOKUP($B83,Scores!$A$2:$I$100,3,FALSE)+IF(VLOOKUP($B83,Scores!$A$2:$I$100,3,FALSE)=MAX(Calculations!$O$6:$O$105),1,0)+$E83))</f>
        <v/>
      </c>
      <c r="H83" s="25" t="str">
        <f>IF($B83="","",IF(VLOOKUP($B83,Scores!$A$2:$I$100,4,FALSE)=0,"",VLOOKUP($B83,Scores!$A$2:$I$100,4,FALSE)+IF(VLOOKUP($B83,Scores!$A$2:$I$100,4,FALSE)=MAX(Calculations!$P$6:$P$105),1,0)+$E83))</f>
        <v/>
      </c>
      <c r="I83" s="25" t="str">
        <f>IF($B83="","",IF(VLOOKUP($B83,Scores!$A$2:$I$100,5,FALSE)=0,"",VLOOKUP($B83,Scores!$A$2:$I$100,5,FALSE)+IF(VLOOKUP($B83,Scores!$A$2:$I$100,5,FALSE)=MAX(Calculations!$Q$6:$Q$105),1,0)+$E83))</f>
        <v/>
      </c>
      <c r="J83" s="25" t="str">
        <f>IF($B83="","",IF(VLOOKUP($B83,Scores!$A$2:$I$100,6,FALSE)=0,"",VLOOKUP($B83,Scores!$A$2:$I$100,6,FALSE)+IF(VLOOKUP($B83,Scores!$A$2:$I$100,6,FALSE)=MAX(Calculations!$R$6:$R$105),1,0)+$E83))</f>
        <v/>
      </c>
      <c r="K83" s="25" t="str">
        <f>IF($B83="","",IF(VLOOKUP($B83,Scores!$A$2:$I$100,7,FALSE)=0,"",VLOOKUP($B83,Scores!$A$2:$I$100,7,FALSE)+IF(VLOOKUP($B83,Scores!$A$2:$I$100,7,FALSE)=MAX(Calculations!$S$6:$S$105),1,0)+$E83))</f>
        <v/>
      </c>
      <c r="L83" s="25" t="str">
        <f>IF($B83="","",IF(VLOOKUP($B83,Scores!$A$2:$I$100,8,FALSE)=0,"",VLOOKUP($B83,Scores!$A$2:$I$100,8,FALSE)+IF(VLOOKUP($B83,Scores!$A$2:$I$100,8,FALSE)=MAX(Calculations!$T$6:$T$105),1,0)+$E83))</f>
        <v/>
      </c>
      <c r="M83" s="25" t="str">
        <f>IF($B83="","",IF(VLOOKUP($B83,Scores!$A$2:$I$100,9,FALSE)=0,"",VLOOKUP($B83,Scores!$A$2:$I$100,9,FALSE)+IF(VLOOKUP($B83,Scores!$A$2:$I$100,9,FALSE)=MAX(Calculations!$U$6:$U$105),1,0)+$E83))</f>
        <v/>
      </c>
      <c r="N83" s="27">
        <f t="shared" si="33"/>
        <v>0</v>
      </c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pans="1:44" hidden="1" x14ac:dyDescent="0.3">
      <c r="A84">
        <v>6</v>
      </c>
      <c r="B84" s="28"/>
      <c r="C84" s="29" t="str">
        <f>IF(B84="","",VLOOKUP(B84,Lookups!$A$2:$F$108,3,FALSE))</f>
        <v/>
      </c>
      <c r="D84" s="30" t="str">
        <f>IF(B84="","",VLOOKUP(B84,Lookups!$A$2:$F$109,6,FALSE))</f>
        <v/>
      </c>
      <c r="E84" s="29" t="str">
        <f>IFERROR(VLOOKUP(C84,Lookups!$K$11:$L$16,2,FALSE),"")</f>
        <v/>
      </c>
      <c r="F84" s="25" t="str">
        <f>IF($B84="","",IF(VLOOKUP($B84,Scores!$A$2:$I$100,2,FALSE)=0,"",VLOOKUP($B84,Scores!$A$2:$I$100,2,FALSE)+IF(VLOOKUP($B84,Scores!$A$2:$I$100,2,FALSE)=MAX(Calculations!$N$6:$N$105),1,0)+$E84))</f>
        <v/>
      </c>
      <c r="G84" s="25" t="str">
        <f>IF($B84="","",IF(VLOOKUP($B84,Scores!$A$2:$I$100,3,FALSE)=0,"",VLOOKUP($B84,Scores!$A$2:$I$100,3,FALSE)+IF(VLOOKUP($B84,Scores!$A$2:$I$100,3,FALSE)=MAX(Calculations!$O$6:$O$105),1,0)+$E84))</f>
        <v/>
      </c>
      <c r="H84" s="25" t="str">
        <f>IF($B84="","",IF(VLOOKUP($B84,Scores!$A$2:$I$100,4,FALSE)=0,"",VLOOKUP($B84,Scores!$A$2:$I$100,4,FALSE)+IF(VLOOKUP($B84,Scores!$A$2:$I$100,4,FALSE)=MAX(Calculations!$P$6:$P$105),1,0)+$E84))</f>
        <v/>
      </c>
      <c r="I84" s="25" t="str">
        <f>IF($B84="","",IF(VLOOKUP($B84,Scores!$A$2:$I$100,5,FALSE)=0,"",VLOOKUP($B84,Scores!$A$2:$I$100,5,FALSE)+IF(VLOOKUP($B84,Scores!$A$2:$I$100,5,FALSE)=MAX(Calculations!$Q$6:$Q$105),1,0)+$E84))</f>
        <v/>
      </c>
      <c r="J84" s="25" t="str">
        <f>IF($B84="","",IF(VLOOKUP($B84,Scores!$A$2:$I$100,6,FALSE)=0,"",VLOOKUP($B84,Scores!$A$2:$I$100,6,FALSE)+IF(VLOOKUP($B84,Scores!$A$2:$I$100,6,FALSE)=MAX(Calculations!$R$6:$R$105),1,0)+$E84))</f>
        <v/>
      </c>
      <c r="K84" s="25" t="str">
        <f>IF($B84="","",IF(VLOOKUP($B84,Scores!$A$2:$I$100,7,FALSE)=0,"",VLOOKUP($B84,Scores!$A$2:$I$100,7,FALSE)+IF(VLOOKUP($B84,Scores!$A$2:$I$100,7,FALSE)=MAX(Calculations!$S$6:$S$105),1,0)+$E84))</f>
        <v/>
      </c>
      <c r="L84" s="25" t="str">
        <f>IF($B84="","",IF(VLOOKUP($B84,Scores!$A$2:$I$100,8,FALSE)=0,"",VLOOKUP($B84,Scores!$A$2:$I$100,8,FALSE)+IF(VLOOKUP($B84,Scores!$A$2:$I$100,8,FALSE)=MAX(Calculations!$T$6:$T$105),1,0)+$E84))</f>
        <v/>
      </c>
      <c r="M84" s="25" t="str">
        <f>IF($B84="","",IF(VLOOKUP($B84,Scores!$A$2:$I$100,9,FALSE)=0,"",VLOOKUP($B84,Scores!$A$2:$I$100,9,FALSE)+IF(VLOOKUP($B84,Scores!$A$2:$I$100,9,FALSE)=MAX(Calculations!$U$6:$U$105),1,0)+$E84))</f>
        <v/>
      </c>
      <c r="N84" s="27">
        <f t="shared" si="33"/>
        <v>0</v>
      </c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</row>
    <row r="85" spans="1:44" ht="15" hidden="1" thickBot="1" x14ac:dyDescent="0.35">
      <c r="C85" s="36"/>
      <c r="E85" s="120" t="s">
        <v>192</v>
      </c>
      <c r="F85" s="25"/>
      <c r="G85" s="25"/>
      <c r="H85" s="25"/>
      <c r="I85" s="25"/>
      <c r="J85" s="25"/>
      <c r="K85" s="25"/>
      <c r="L85" s="25"/>
      <c r="M85" s="25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</row>
    <row r="86" spans="1:44" ht="15" hidden="1" thickBot="1" x14ac:dyDescent="0.35">
      <c r="E86" s="31"/>
      <c r="F86" s="25"/>
      <c r="G86" s="25"/>
      <c r="H86" s="25"/>
      <c r="I86" s="25"/>
      <c r="J86" s="25"/>
      <c r="K86" s="25"/>
      <c r="L86" s="25"/>
      <c r="M86" s="25"/>
      <c r="N86" s="98">
        <f>SUM(F86:M86)</f>
        <v>0</v>
      </c>
    </row>
    <row r="87" spans="1:44" hidden="1" x14ac:dyDescent="0.3">
      <c r="B87" t="s">
        <v>146</v>
      </c>
    </row>
    <row r="88" spans="1:44" hidden="1" x14ac:dyDescent="0.3">
      <c r="A88">
        <v>1</v>
      </c>
      <c r="B88" s="28"/>
      <c r="C88" s="29" t="str">
        <f>IF(B88="","",VLOOKUP(B88,Lookups!$A$2:$F$108,3,FALSE))</f>
        <v/>
      </c>
      <c r="D88" s="30" t="str">
        <f>IF(B88="","",VLOOKUP(B88,Lookups!$A$2:$F$109,6,FALSE))</f>
        <v/>
      </c>
      <c r="E88" s="29" t="str">
        <f>IFERROR(VLOOKUP(C88,Lookups!$K$11:$L$16,2,FALSE),"")</f>
        <v/>
      </c>
      <c r="F88" s="25" t="str">
        <f>IF($B88="","",IF(VLOOKUP($B88,Scores!$A$2:$I$100,2,FALSE)=0,"",VLOOKUP($B88,Scores!$A$2:$I$100,2,FALSE)+IF(VLOOKUP($B88,Scores!$A$2:$I$100,2,FALSE)=MAX(Calculations!$N$6:$N$105),1,0)+$E88))</f>
        <v/>
      </c>
      <c r="G88" s="25" t="str">
        <f>IF($B88="","",IF(VLOOKUP($B88,Scores!$A$2:$I$100,3,FALSE)=0,"",VLOOKUP($B88,Scores!$A$2:$I$100,3,FALSE)+IF(VLOOKUP($B88,Scores!$A$2:$I$100,3,FALSE)=MAX(Calculations!$O$6:$O$105),1,0)+$E88))</f>
        <v/>
      </c>
      <c r="H88" s="25" t="str">
        <f>IF($B88="","",IF(VLOOKUP($B88,Scores!$A$2:$I$100,4,FALSE)=0,"",VLOOKUP($B88,Scores!$A$2:$I$100,4,FALSE)+IF(VLOOKUP($B88,Scores!$A$2:$I$100,4,FALSE)=MAX(Calculations!$P$6:$P$105),1,0)+$E88))</f>
        <v/>
      </c>
      <c r="I88" s="25" t="str">
        <f>IF($B88="","",IF(VLOOKUP($B88,Scores!$A$2:$I$100,5,FALSE)=0,"",VLOOKUP($B88,Scores!$A$2:$I$100,5,FALSE)+IF(VLOOKUP($B88,Scores!$A$2:$I$100,5,FALSE)=MAX(Calculations!$Q$6:$Q$105),1,0)+$E88))</f>
        <v/>
      </c>
      <c r="J88" s="25" t="str">
        <f>IF($B88="","",IF(VLOOKUP($B88,Scores!$A$2:$I$100,6,FALSE)=0,"",VLOOKUP($B88,Scores!$A$2:$I$100,6,FALSE)+IF(VLOOKUP($B88,Scores!$A$2:$I$100,6,FALSE)=MAX(Calculations!$R$6:$R$105),1,0)+$E88))</f>
        <v/>
      </c>
      <c r="K88" s="25" t="str">
        <f>IF($B88="","",IF(VLOOKUP($B88,Scores!$A$2:$I$100,7,FALSE)=0,"",VLOOKUP($B88,Scores!$A$2:$I$100,7,FALSE)+IF(VLOOKUP($B88,Scores!$A$2:$I$100,7,FALSE)=MAX(Calculations!$S$6:$S$105),1,0)+$E88))</f>
        <v/>
      </c>
      <c r="L88" s="25" t="str">
        <f>IF($B88="","",IF(VLOOKUP($B88,Scores!$A$2:$I$100,8,FALSE)=0,"",VLOOKUP($B88,Scores!$A$2:$I$100,8,FALSE)+IF(VLOOKUP($B88,Scores!$A$2:$I$100,8,FALSE)=MAX(Calculations!$T$6:$T$105),1,0)+$E88))</f>
        <v/>
      </c>
      <c r="M88" s="25" t="str">
        <f>IF($B88="","",IF(VLOOKUP($B88,Scores!$A$2:$I$100,9,FALSE)=0,"",VLOOKUP($B88,Scores!$A$2:$I$100,9,FALSE)+IF(VLOOKUP($B88,Scores!$A$2:$I$100,9,FALSE)=MAX(Calculations!$U$6:$U$105),1,0)+$E88))</f>
        <v/>
      </c>
      <c r="N88" s="27">
        <f>SUM(F88:M88)</f>
        <v>0</v>
      </c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</row>
    <row r="89" spans="1:44" hidden="1" x14ac:dyDescent="0.3">
      <c r="A89">
        <v>2</v>
      </c>
      <c r="B89" s="28"/>
      <c r="C89" s="29" t="str">
        <f>IF(B89="","",VLOOKUP(B89,Lookups!$A$2:$F$108,3,FALSE))</f>
        <v/>
      </c>
      <c r="D89" s="30" t="str">
        <f>IF(B89="","",VLOOKUP(B89,Lookups!$A$2:$F$109,6,FALSE))</f>
        <v/>
      </c>
      <c r="E89" s="29" t="str">
        <f>IFERROR(VLOOKUP(C89,Lookups!$K$11:$L$16,2,FALSE),"")</f>
        <v/>
      </c>
      <c r="F89" s="25" t="str">
        <f>IF($B89="","",IF(VLOOKUP($B89,Scores!$A$2:$I$100,2,FALSE)=0,"",VLOOKUP($B89,Scores!$A$2:$I$100,2,FALSE)+IF(VLOOKUP($B89,Scores!$A$2:$I$100,2,FALSE)=MAX(Calculations!$N$6:$N$105),1,0)+$E89))</f>
        <v/>
      </c>
      <c r="G89" s="25" t="str">
        <f>IF($B89="","",IF(VLOOKUP($B89,Scores!$A$2:$I$100,3,FALSE)=0,"",VLOOKUP($B89,Scores!$A$2:$I$100,3,FALSE)+IF(VLOOKUP($B89,Scores!$A$2:$I$100,3,FALSE)=MAX(Calculations!$O$6:$O$105),1,0)+$E89))</f>
        <v/>
      </c>
      <c r="H89" s="25" t="str">
        <f>IF($B89="","",IF(VLOOKUP($B89,Scores!$A$2:$I$100,4,FALSE)=0,"",VLOOKUP($B89,Scores!$A$2:$I$100,4,FALSE)+IF(VLOOKUP($B89,Scores!$A$2:$I$100,4,FALSE)=MAX(Calculations!$P$6:$P$105),1,0)+$E89))</f>
        <v/>
      </c>
      <c r="I89" s="25" t="str">
        <f>IF($B89="","",IF(VLOOKUP($B89,Scores!$A$2:$I$100,5,FALSE)=0,"",VLOOKUP($B89,Scores!$A$2:$I$100,5,FALSE)+IF(VLOOKUP($B89,Scores!$A$2:$I$100,5,FALSE)=MAX(Calculations!$Q$6:$Q$105),1,0)+$E89))</f>
        <v/>
      </c>
      <c r="J89" s="25" t="str">
        <f>IF($B89="","",IF(VLOOKUP($B89,Scores!$A$2:$I$100,6,FALSE)=0,"",VLOOKUP($B89,Scores!$A$2:$I$100,6,FALSE)+IF(VLOOKUP($B89,Scores!$A$2:$I$100,6,FALSE)=MAX(Calculations!$R$6:$R$105),1,0)+$E89))</f>
        <v/>
      </c>
      <c r="K89" s="25" t="str">
        <f>IF($B89="","",IF(VLOOKUP($B89,Scores!$A$2:$I$100,7,FALSE)=0,"",VLOOKUP($B89,Scores!$A$2:$I$100,7,FALSE)+IF(VLOOKUP($B89,Scores!$A$2:$I$100,7,FALSE)=MAX(Calculations!$S$6:$S$105),1,0)+$E89))</f>
        <v/>
      </c>
      <c r="L89" s="25" t="str">
        <f>IF($B89="","",IF(VLOOKUP($B89,Scores!$A$2:$I$100,8,FALSE)=0,"",VLOOKUP($B89,Scores!$A$2:$I$100,8,FALSE)+IF(VLOOKUP($B89,Scores!$A$2:$I$100,8,FALSE)=MAX(Calculations!$T$6:$T$105),1,0)+$E89))</f>
        <v/>
      </c>
      <c r="M89" s="25" t="str">
        <f>IF($B89="","",IF(VLOOKUP($B89,Scores!$A$2:$I$100,9,FALSE)=0,"",VLOOKUP($B89,Scores!$A$2:$I$100,9,FALSE)+IF(VLOOKUP($B89,Scores!$A$2:$I$100,9,FALSE)=MAX(Calculations!$U$6:$U$105),1,0)+$E89))</f>
        <v/>
      </c>
      <c r="N89" s="27">
        <f t="shared" ref="N89:N93" si="34">SUM(F89:M89)</f>
        <v>0</v>
      </c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</row>
    <row r="90" spans="1:44" hidden="1" x14ac:dyDescent="0.3">
      <c r="A90">
        <v>3</v>
      </c>
      <c r="B90" s="28"/>
      <c r="C90" s="29" t="str">
        <f>IF(B90="","",VLOOKUP(B90,Lookups!$A$2:$F$108,3,FALSE))</f>
        <v/>
      </c>
      <c r="D90" s="30" t="str">
        <f>IF(B90="","",VLOOKUP(B90,Lookups!$A$2:$F$109,6,FALSE))</f>
        <v/>
      </c>
      <c r="E90" s="29" t="str">
        <f>IFERROR(VLOOKUP(C90,Lookups!$K$11:$L$16,2,FALSE),"")</f>
        <v/>
      </c>
      <c r="F90" s="25" t="str">
        <f>IF($B90="","",IF(VLOOKUP($B90,Scores!$A$2:$I$100,2,FALSE)=0,"",VLOOKUP($B90,Scores!$A$2:$I$100,2,FALSE)+IF(VLOOKUP($B90,Scores!$A$2:$I$100,2,FALSE)=MAX(Calculations!$N$6:$N$105),1,0)+$E90))</f>
        <v/>
      </c>
      <c r="G90" s="25" t="str">
        <f>IF($B90="","",IF(VLOOKUP($B90,Scores!$A$2:$I$100,3,FALSE)=0,"",VLOOKUP($B90,Scores!$A$2:$I$100,3,FALSE)+IF(VLOOKUP($B90,Scores!$A$2:$I$100,3,FALSE)=MAX(Calculations!$O$6:$O$105),1,0)+$E90))</f>
        <v/>
      </c>
      <c r="H90" s="25" t="str">
        <f>IF($B90="","",IF(VLOOKUP($B90,Scores!$A$2:$I$100,4,FALSE)=0,"",VLOOKUP($B90,Scores!$A$2:$I$100,4,FALSE)+IF(VLOOKUP($B90,Scores!$A$2:$I$100,4,FALSE)=MAX(Calculations!$P$6:$P$105),1,0)+$E90))</f>
        <v/>
      </c>
      <c r="I90" s="25" t="str">
        <f>IF($B90="","",IF(VLOOKUP($B90,Scores!$A$2:$I$100,5,FALSE)=0,"",VLOOKUP($B90,Scores!$A$2:$I$100,5,FALSE)+IF(VLOOKUP($B90,Scores!$A$2:$I$100,5,FALSE)=MAX(Calculations!$Q$6:$Q$105),1,0)+$E90))</f>
        <v/>
      </c>
      <c r="J90" s="25" t="str">
        <f>IF($B90="","",IF(VLOOKUP($B90,Scores!$A$2:$I$100,6,FALSE)=0,"",VLOOKUP($B90,Scores!$A$2:$I$100,6,FALSE)+IF(VLOOKUP($B90,Scores!$A$2:$I$100,6,FALSE)=MAX(Calculations!$R$6:$R$105),1,0)+$E90))</f>
        <v/>
      </c>
      <c r="K90" s="25" t="str">
        <f>IF($B90="","",IF(VLOOKUP($B90,Scores!$A$2:$I$100,7,FALSE)=0,"",VLOOKUP($B90,Scores!$A$2:$I$100,7,FALSE)+IF(VLOOKUP($B90,Scores!$A$2:$I$100,7,FALSE)=MAX(Calculations!$S$6:$S$105),1,0)+$E90))</f>
        <v/>
      </c>
      <c r="L90" s="25" t="str">
        <f>IF($B90="","",IF(VLOOKUP($B90,Scores!$A$2:$I$100,8,FALSE)=0,"",VLOOKUP($B90,Scores!$A$2:$I$100,8,FALSE)+IF(VLOOKUP($B90,Scores!$A$2:$I$100,8,FALSE)=MAX(Calculations!$T$6:$T$105),1,0)+$E90))</f>
        <v/>
      </c>
      <c r="M90" s="25" t="str">
        <f>IF($B90="","",IF(VLOOKUP($B90,Scores!$A$2:$I$100,9,FALSE)=0,"",VLOOKUP($B90,Scores!$A$2:$I$100,9,FALSE)+IF(VLOOKUP($B90,Scores!$A$2:$I$100,9,FALSE)=MAX(Calculations!$U$6:$U$105),1,0)+$E90))</f>
        <v/>
      </c>
      <c r="N90" s="27">
        <f t="shared" si="34"/>
        <v>0</v>
      </c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</row>
    <row r="91" spans="1:44" hidden="1" x14ac:dyDescent="0.3">
      <c r="A91">
        <v>4</v>
      </c>
      <c r="B91" s="28"/>
      <c r="C91" s="29" t="str">
        <f>IF(B91="","",VLOOKUP(B91,Lookups!$A$2:$F$108,3,FALSE))</f>
        <v/>
      </c>
      <c r="D91" s="30" t="str">
        <f>IF(B91="","",VLOOKUP(B91,Lookups!$A$2:$F$109,6,FALSE))</f>
        <v/>
      </c>
      <c r="E91" s="29" t="str">
        <f>IFERROR(VLOOKUP(C91,Lookups!$K$11:$L$16,2,FALSE),"")</f>
        <v/>
      </c>
      <c r="F91" s="25" t="str">
        <f>IF($B91="","",IF(VLOOKUP($B91,Scores!$A$2:$I$100,2,FALSE)=0,"",VLOOKUP($B91,Scores!$A$2:$I$100,2,FALSE)+IF(VLOOKUP($B91,Scores!$A$2:$I$100,2,FALSE)=MAX(Calculations!$N$6:$N$105),1,0)+$E91))</f>
        <v/>
      </c>
      <c r="G91" s="25" t="str">
        <f>IF($B91="","",IF(VLOOKUP($B91,Scores!$A$2:$I$100,3,FALSE)=0,"",VLOOKUP($B91,Scores!$A$2:$I$100,3,FALSE)+IF(VLOOKUP($B91,Scores!$A$2:$I$100,3,FALSE)=MAX(Calculations!$O$6:$O$105),1,0)+$E91))</f>
        <v/>
      </c>
      <c r="H91" s="25" t="str">
        <f>IF($B91="","",IF(VLOOKUP($B91,Scores!$A$2:$I$100,4,FALSE)=0,"",VLOOKUP($B91,Scores!$A$2:$I$100,4,FALSE)+IF(VLOOKUP($B91,Scores!$A$2:$I$100,4,FALSE)=MAX(Calculations!$P$6:$P$105),1,0)+$E91))</f>
        <v/>
      </c>
      <c r="I91" s="25" t="str">
        <f>IF($B91="","",IF(VLOOKUP($B91,Scores!$A$2:$I$100,5,FALSE)=0,"",VLOOKUP($B91,Scores!$A$2:$I$100,5,FALSE)+IF(VLOOKUP($B91,Scores!$A$2:$I$100,5,FALSE)=MAX(Calculations!$Q$6:$Q$105),1,0)+$E91))</f>
        <v/>
      </c>
      <c r="J91" s="25" t="str">
        <f>IF($B91="","",IF(VLOOKUP($B91,Scores!$A$2:$I$100,6,FALSE)=0,"",VLOOKUP($B91,Scores!$A$2:$I$100,6,FALSE)+IF(VLOOKUP($B91,Scores!$A$2:$I$100,6,FALSE)=MAX(Calculations!$R$6:$R$105),1,0)+$E91))</f>
        <v/>
      </c>
      <c r="K91" s="25" t="str">
        <f>IF($B91="","",IF(VLOOKUP($B91,Scores!$A$2:$I$100,7,FALSE)=0,"",VLOOKUP($B91,Scores!$A$2:$I$100,7,FALSE)+IF(VLOOKUP($B91,Scores!$A$2:$I$100,7,FALSE)=MAX(Calculations!$S$6:$S$105),1,0)+$E91))</f>
        <v/>
      </c>
      <c r="L91" s="25" t="str">
        <f>IF($B91="","",IF(VLOOKUP($B91,Scores!$A$2:$I$100,8,FALSE)=0,"",VLOOKUP($B91,Scores!$A$2:$I$100,8,FALSE)+IF(VLOOKUP($B91,Scores!$A$2:$I$100,8,FALSE)=MAX(Calculations!$T$6:$T$105),1,0)+$E91))</f>
        <v/>
      </c>
      <c r="M91" s="25" t="str">
        <f>IF($B91="","",IF(VLOOKUP($B91,Scores!$A$2:$I$100,9,FALSE)=0,"",VLOOKUP($B91,Scores!$A$2:$I$100,9,FALSE)+IF(VLOOKUP($B91,Scores!$A$2:$I$100,9,FALSE)=MAX(Calculations!$U$6:$U$105),1,0)+$E91))</f>
        <v/>
      </c>
      <c r="N91" s="27">
        <f t="shared" si="34"/>
        <v>0</v>
      </c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</row>
    <row r="92" spans="1:44" hidden="1" x14ac:dyDescent="0.3">
      <c r="A92">
        <v>5</v>
      </c>
      <c r="B92" s="28"/>
      <c r="C92" s="29" t="str">
        <f>IF(B92="","",VLOOKUP(B92,Lookups!$A$2:$F$108,3,FALSE))</f>
        <v/>
      </c>
      <c r="D92" s="30" t="str">
        <f>IF(B92="","",VLOOKUP(B92,Lookups!$A$2:$F$109,6,FALSE))</f>
        <v/>
      </c>
      <c r="E92" s="29" t="str">
        <f>IFERROR(VLOOKUP(C92,Lookups!$K$11:$L$16,2,FALSE),"")</f>
        <v/>
      </c>
      <c r="F92" s="25" t="str">
        <f>IF($B92="","",IF(VLOOKUP($B92,Scores!$A$2:$I$100,2,FALSE)=0,"",VLOOKUP($B92,Scores!$A$2:$I$100,2,FALSE)+IF(VLOOKUP($B92,Scores!$A$2:$I$100,2,FALSE)=MAX(Calculations!$N$6:$N$105),1,0)+$E92))</f>
        <v/>
      </c>
      <c r="G92" s="25" t="str">
        <f>IF($B92="","",IF(VLOOKUP($B92,Scores!$A$2:$I$100,3,FALSE)=0,"",VLOOKUP($B92,Scores!$A$2:$I$100,3,FALSE)+IF(VLOOKUP($B92,Scores!$A$2:$I$100,3,FALSE)=MAX(Calculations!$O$6:$O$105),1,0)+$E92))</f>
        <v/>
      </c>
      <c r="H92" s="25" t="str">
        <f>IF($B92="","",IF(VLOOKUP($B92,Scores!$A$2:$I$100,4,FALSE)=0,"",VLOOKUP($B92,Scores!$A$2:$I$100,4,FALSE)+IF(VLOOKUP($B92,Scores!$A$2:$I$100,4,FALSE)=MAX(Calculations!$P$6:$P$105),1,0)+$E92))</f>
        <v/>
      </c>
      <c r="I92" s="25" t="str">
        <f>IF($B92="","",IF(VLOOKUP($B92,Scores!$A$2:$I$100,5,FALSE)=0,"",VLOOKUP($B92,Scores!$A$2:$I$100,5,FALSE)+IF(VLOOKUP($B92,Scores!$A$2:$I$100,5,FALSE)=MAX(Calculations!$Q$6:$Q$105),1,0)+$E92))</f>
        <v/>
      </c>
      <c r="J92" s="25" t="str">
        <f>IF($B92="","",IF(VLOOKUP($B92,Scores!$A$2:$I$100,6,FALSE)=0,"",VLOOKUP($B92,Scores!$A$2:$I$100,6,FALSE)+IF(VLOOKUP($B92,Scores!$A$2:$I$100,6,FALSE)=MAX(Calculations!$R$6:$R$105),1,0)+$E92))</f>
        <v/>
      </c>
      <c r="K92" s="25" t="str">
        <f>IF($B92="","",IF(VLOOKUP($B92,Scores!$A$2:$I$100,7,FALSE)=0,"",VLOOKUP($B92,Scores!$A$2:$I$100,7,FALSE)+IF(VLOOKUP($B92,Scores!$A$2:$I$100,7,FALSE)=MAX(Calculations!$S$6:$S$105),1,0)+$E92))</f>
        <v/>
      </c>
      <c r="L92" s="25" t="str">
        <f>IF($B92="","",IF(VLOOKUP($B92,Scores!$A$2:$I$100,8,FALSE)=0,"",VLOOKUP($B92,Scores!$A$2:$I$100,8,FALSE)+IF(VLOOKUP($B92,Scores!$A$2:$I$100,8,FALSE)=MAX(Calculations!$T$6:$T$105),1,0)+$E92))</f>
        <v/>
      </c>
      <c r="M92" s="25" t="str">
        <f>IF($B92="","",IF(VLOOKUP($B92,Scores!$A$2:$I$100,9,FALSE)=0,"",VLOOKUP($B92,Scores!$A$2:$I$100,9,FALSE)+IF(VLOOKUP($B92,Scores!$A$2:$I$100,9,FALSE)=MAX(Calculations!$U$6:$U$105),1,0)+$E92))</f>
        <v/>
      </c>
      <c r="N92" s="27">
        <f t="shared" si="34"/>
        <v>0</v>
      </c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</row>
    <row r="93" spans="1:44" hidden="1" x14ac:dyDescent="0.3">
      <c r="A93">
        <v>6</v>
      </c>
      <c r="B93" s="28"/>
      <c r="C93" s="29" t="str">
        <f>IF(B93="","",VLOOKUP(B93,Lookups!$A$2:$F$108,3,FALSE))</f>
        <v/>
      </c>
      <c r="D93" s="30" t="str">
        <f>IF(B93="","",VLOOKUP(B93,Lookups!$A$2:$F$109,6,FALSE))</f>
        <v/>
      </c>
      <c r="E93" s="29" t="str">
        <f>IFERROR(VLOOKUP(C93,Lookups!$K$11:$L$16,2,FALSE),"")</f>
        <v/>
      </c>
      <c r="F93" s="25" t="str">
        <f>IF($B93="","",IF(VLOOKUP($B93,Scores!$A$2:$I$100,2,FALSE)=0,"",VLOOKUP($B93,Scores!$A$2:$I$100,2,FALSE)+IF(VLOOKUP($B93,Scores!$A$2:$I$100,2,FALSE)=MAX(Calculations!$N$6:$N$105),1,0)+$E93))</f>
        <v/>
      </c>
      <c r="G93" s="25" t="str">
        <f>IF($B93="","",IF(VLOOKUP($B93,Scores!$A$2:$I$100,3,FALSE)=0,"",VLOOKUP($B93,Scores!$A$2:$I$100,3,FALSE)+IF(VLOOKUP($B93,Scores!$A$2:$I$100,3,FALSE)=MAX(Calculations!$O$6:$O$105),1,0)+$E93))</f>
        <v/>
      </c>
      <c r="H93" s="25" t="str">
        <f>IF($B93="","",IF(VLOOKUP($B93,Scores!$A$2:$I$100,4,FALSE)=0,"",VLOOKUP($B93,Scores!$A$2:$I$100,4,FALSE)+IF(VLOOKUP($B93,Scores!$A$2:$I$100,4,FALSE)=MAX(Calculations!$P$6:$P$105),1,0)+$E93))</f>
        <v/>
      </c>
      <c r="I93" s="25" t="str">
        <f>IF($B93="","",IF(VLOOKUP($B93,Scores!$A$2:$I$100,5,FALSE)=0,"",VLOOKUP($B93,Scores!$A$2:$I$100,5,FALSE)+IF(VLOOKUP($B93,Scores!$A$2:$I$100,5,FALSE)=MAX(Calculations!$Q$6:$Q$105),1,0)+$E93))</f>
        <v/>
      </c>
      <c r="J93" s="25" t="str">
        <f>IF($B93="","",IF(VLOOKUP($B93,Scores!$A$2:$I$100,6,FALSE)=0,"",VLOOKUP($B93,Scores!$A$2:$I$100,6,FALSE)+IF(VLOOKUP($B93,Scores!$A$2:$I$100,6,FALSE)=MAX(Calculations!$R$6:$R$105),1,0)+$E93))</f>
        <v/>
      </c>
      <c r="K93" s="25" t="str">
        <f>IF($B93="","",IF(VLOOKUP($B93,Scores!$A$2:$I$100,7,FALSE)=0,"",VLOOKUP($B93,Scores!$A$2:$I$100,7,FALSE)+IF(VLOOKUP($B93,Scores!$A$2:$I$100,7,FALSE)=MAX(Calculations!$S$6:$S$105),1,0)+$E93))</f>
        <v/>
      </c>
      <c r="L93" s="25" t="str">
        <f>IF($B93="","",IF(VLOOKUP($B93,Scores!$A$2:$I$100,8,FALSE)=0,"",VLOOKUP($B93,Scores!$A$2:$I$100,8,FALSE)+IF(VLOOKUP($B93,Scores!$A$2:$I$100,8,FALSE)=MAX(Calculations!$T$6:$T$105),1,0)+$E93))</f>
        <v/>
      </c>
      <c r="M93" s="25" t="str">
        <f>IF($B93="","",IF(VLOOKUP($B93,Scores!$A$2:$I$100,9,FALSE)=0,"",VLOOKUP($B93,Scores!$A$2:$I$100,9,FALSE)+IF(VLOOKUP($B93,Scores!$A$2:$I$100,9,FALSE)=MAX(Calculations!$U$6:$U$105),1,0)+$E93))</f>
        <v/>
      </c>
      <c r="N93" s="27">
        <f t="shared" si="34"/>
        <v>0</v>
      </c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</row>
    <row r="94" spans="1:44" ht="15" hidden="1" thickBot="1" x14ac:dyDescent="0.35">
      <c r="C94" s="36"/>
      <c r="E94" s="120" t="s">
        <v>192</v>
      </c>
      <c r="F94" s="25"/>
      <c r="G94" s="25"/>
      <c r="H94" s="25"/>
      <c r="I94" s="25"/>
      <c r="J94" s="25"/>
      <c r="K94" s="25"/>
      <c r="L94" s="25"/>
      <c r="M94" s="25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</row>
    <row r="95" spans="1:44" ht="15" hidden="1" thickBot="1" x14ac:dyDescent="0.35">
      <c r="E95" s="31"/>
      <c r="F95" s="25"/>
      <c r="G95" s="25"/>
      <c r="H95" s="25"/>
      <c r="I95" s="25"/>
      <c r="J95" s="25"/>
      <c r="K95" s="25"/>
      <c r="L95" s="25"/>
      <c r="M95" s="25"/>
      <c r="N95" s="98">
        <f>SUM(F95:M95)</f>
        <v>0</v>
      </c>
    </row>
    <row r="96" spans="1:44" hidden="1" x14ac:dyDescent="0.3">
      <c r="B96" t="s">
        <v>147</v>
      </c>
    </row>
    <row r="97" spans="1:44" hidden="1" x14ac:dyDescent="0.3">
      <c r="A97">
        <v>1</v>
      </c>
      <c r="B97" s="28"/>
      <c r="C97" s="29" t="str">
        <f>IF(B97="","",VLOOKUP(B97,Lookups!$A$2:$F$108,3,FALSE))</f>
        <v/>
      </c>
      <c r="D97" s="30" t="str">
        <f>IF(B97="","",VLOOKUP(B97,Lookups!$A$2:$F$109,6,FALSE))</f>
        <v/>
      </c>
      <c r="E97" s="29" t="str">
        <f>IFERROR(VLOOKUP(C97,Lookups!$K$11:$L$16,2,FALSE),"")</f>
        <v/>
      </c>
      <c r="F97" s="25" t="str">
        <f>IF($B97="","",IF(VLOOKUP($B97,Scores!$A$2:$I$100,2,FALSE)=0,"",VLOOKUP($B97,Scores!$A$2:$I$100,2,FALSE)+IF(VLOOKUP($B97,Scores!$A$2:$I$100,2,FALSE)=MAX(Calculations!$N$6:$N$105),1,0)+$E97))</f>
        <v/>
      </c>
      <c r="G97" s="25" t="str">
        <f>IF($B97="","",IF(VLOOKUP($B97,Scores!$A$2:$I$100,3,FALSE)=0,"",VLOOKUP($B97,Scores!$A$2:$I$100,3,FALSE)+IF(VLOOKUP($B97,Scores!$A$2:$I$100,3,FALSE)=MAX(Calculations!$O$6:$O$105),1,0)+$E97))</f>
        <v/>
      </c>
      <c r="H97" s="25" t="str">
        <f>IF($B97="","",IF(VLOOKUP($B97,Scores!$A$2:$I$100,4,FALSE)=0,"",VLOOKUP($B97,Scores!$A$2:$I$100,4,FALSE)+IF(VLOOKUP($B97,Scores!$A$2:$I$100,4,FALSE)=MAX(Calculations!$P$6:$P$105),1,0)+$E97))</f>
        <v/>
      </c>
      <c r="I97" s="25" t="str">
        <f>IF($B97="","",IF(VLOOKUP($B97,Scores!$A$2:$I$100,5,FALSE)=0,"",VLOOKUP($B97,Scores!$A$2:$I$100,5,FALSE)+IF(VLOOKUP($B97,Scores!$A$2:$I$100,5,FALSE)=MAX(Calculations!$Q$6:$Q$105),1,0)+$E97))</f>
        <v/>
      </c>
      <c r="J97" s="25" t="str">
        <f>IF($B97="","",IF(VLOOKUP($B97,Scores!$A$2:$I$100,6,FALSE)=0,"",VLOOKUP($B97,Scores!$A$2:$I$100,6,FALSE)+IF(VLOOKUP($B97,Scores!$A$2:$I$100,6,FALSE)=MAX(Calculations!$R$6:$R$105),1,0)+$E97))</f>
        <v/>
      </c>
      <c r="K97" s="25" t="str">
        <f>IF($B97="","",IF(VLOOKUP($B97,Scores!$A$2:$I$100,7,FALSE)=0,"",VLOOKUP($B97,Scores!$A$2:$I$100,7,FALSE)+IF(VLOOKUP($B97,Scores!$A$2:$I$100,7,FALSE)=MAX(Calculations!$S$6:$S$105),1,0)+$E97))</f>
        <v/>
      </c>
      <c r="L97" s="25" t="str">
        <f>IF($B97="","",IF(VLOOKUP($B97,Scores!$A$2:$I$100,8,FALSE)=0,"",VLOOKUP($B97,Scores!$A$2:$I$100,8,FALSE)+IF(VLOOKUP($B97,Scores!$A$2:$I$100,8,FALSE)=MAX(Calculations!$T$6:$T$105),1,0)+$E97))</f>
        <v/>
      </c>
      <c r="M97" s="25" t="str">
        <f>IF($B97="","",IF(VLOOKUP($B97,Scores!$A$2:$I$100,9,FALSE)=0,"",VLOOKUP($B97,Scores!$A$2:$I$100,9,FALSE)+IF(VLOOKUP($B97,Scores!$A$2:$I$100,9,FALSE)=MAX(Calculations!$U$6:$U$105),1,0)+$E97))</f>
        <v/>
      </c>
      <c r="N97" s="27">
        <f>SUM(F97:M97)</f>
        <v>0</v>
      </c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hidden="1" x14ac:dyDescent="0.3">
      <c r="A98">
        <v>2</v>
      </c>
      <c r="B98" s="28"/>
      <c r="C98" s="29" t="str">
        <f>IF(B98="","",VLOOKUP(B98,Lookups!$A$2:$F$108,3,FALSE))</f>
        <v/>
      </c>
      <c r="D98" s="30" t="str">
        <f>IF(B98="","",VLOOKUP(B98,Lookups!$A$2:$F$109,6,FALSE))</f>
        <v/>
      </c>
      <c r="E98" s="29" t="str">
        <f>IFERROR(VLOOKUP(C98,Lookups!$K$11:$L$16,2,FALSE),"")</f>
        <v/>
      </c>
      <c r="F98" s="25" t="str">
        <f>IF($B98="","",IF(VLOOKUP($B98,Scores!$A$2:$I$100,2,FALSE)=0,"",VLOOKUP($B98,Scores!$A$2:$I$100,2,FALSE)+IF(VLOOKUP($B98,Scores!$A$2:$I$100,2,FALSE)=MAX(Calculations!$N$6:$N$105),1,0)+$E98))</f>
        <v/>
      </c>
      <c r="G98" s="25" t="str">
        <f>IF($B98="","",IF(VLOOKUP($B98,Scores!$A$2:$I$100,3,FALSE)=0,"",VLOOKUP($B98,Scores!$A$2:$I$100,3,FALSE)+IF(VLOOKUP($B98,Scores!$A$2:$I$100,3,FALSE)=MAX(Calculations!$O$6:$O$105),1,0)+$E98))</f>
        <v/>
      </c>
      <c r="H98" s="25" t="str">
        <f>IF($B98="","",IF(VLOOKUP($B98,Scores!$A$2:$I$100,4,FALSE)=0,"",VLOOKUP($B98,Scores!$A$2:$I$100,4,FALSE)+IF(VLOOKUP($B98,Scores!$A$2:$I$100,4,FALSE)=MAX(Calculations!$P$6:$P$105),1,0)+$E98))</f>
        <v/>
      </c>
      <c r="I98" s="25" t="str">
        <f>IF($B98="","",IF(VLOOKUP($B98,Scores!$A$2:$I$100,5,FALSE)=0,"",VLOOKUP($B98,Scores!$A$2:$I$100,5,FALSE)+IF(VLOOKUP($B98,Scores!$A$2:$I$100,5,FALSE)=MAX(Calculations!$Q$6:$Q$105),1,0)+$E98))</f>
        <v/>
      </c>
      <c r="J98" s="25" t="str">
        <f>IF($B98="","",IF(VLOOKUP($B98,Scores!$A$2:$I$100,6,FALSE)=0,"",VLOOKUP($B98,Scores!$A$2:$I$100,6,FALSE)+IF(VLOOKUP($B98,Scores!$A$2:$I$100,6,FALSE)=MAX(Calculations!$R$6:$R$105),1,0)+$E98))</f>
        <v/>
      </c>
      <c r="K98" s="25" t="str">
        <f>IF($B98="","",IF(VLOOKUP($B98,Scores!$A$2:$I$100,7,FALSE)=0,"",VLOOKUP($B98,Scores!$A$2:$I$100,7,FALSE)+IF(VLOOKUP($B98,Scores!$A$2:$I$100,7,FALSE)=MAX(Calculations!$S$6:$S$105),1,0)+$E98))</f>
        <v/>
      </c>
      <c r="L98" s="25" t="str">
        <f>IF($B98="","",IF(VLOOKUP($B98,Scores!$A$2:$I$100,8,FALSE)=0,"",VLOOKUP($B98,Scores!$A$2:$I$100,8,FALSE)+IF(VLOOKUP($B98,Scores!$A$2:$I$100,8,FALSE)=MAX(Calculations!$T$6:$T$105),1,0)+$E98))</f>
        <v/>
      </c>
      <c r="M98" s="25" t="str">
        <f>IF($B98="","",IF(VLOOKUP($B98,Scores!$A$2:$I$100,9,FALSE)=0,"",VLOOKUP($B98,Scores!$A$2:$I$100,9,FALSE)+IF(VLOOKUP($B98,Scores!$A$2:$I$100,9,FALSE)=MAX(Calculations!$U$6:$U$105),1,0)+$E98))</f>
        <v/>
      </c>
      <c r="N98" s="27">
        <f t="shared" ref="N98:N102" si="35">SUM(F98:M98)</f>
        <v>0</v>
      </c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</row>
    <row r="99" spans="1:44" hidden="1" x14ac:dyDescent="0.3">
      <c r="A99">
        <v>3</v>
      </c>
      <c r="B99" s="28"/>
      <c r="C99" s="29" t="str">
        <f>IF(B99="","",VLOOKUP(B99,Lookups!$A$2:$F$108,3,FALSE))</f>
        <v/>
      </c>
      <c r="D99" s="30" t="str">
        <f>IF(B99="","",VLOOKUP(B99,Lookups!$A$2:$F$109,6,FALSE))</f>
        <v/>
      </c>
      <c r="E99" s="29" t="str">
        <f>IFERROR(VLOOKUP(C99,Lookups!$K$11:$L$16,2,FALSE),"")</f>
        <v/>
      </c>
      <c r="F99" s="25" t="str">
        <f>IF($B99="","",IF(VLOOKUP($B99,Scores!$A$2:$I$100,2,FALSE)=0,"",VLOOKUP($B99,Scores!$A$2:$I$100,2,FALSE)+IF(VLOOKUP($B99,Scores!$A$2:$I$100,2,FALSE)=MAX(Calculations!$N$6:$N$105),1,0)+$E99))</f>
        <v/>
      </c>
      <c r="G99" s="25" t="str">
        <f>IF($B99="","",IF(VLOOKUP($B99,Scores!$A$2:$I$100,3,FALSE)=0,"",VLOOKUP($B99,Scores!$A$2:$I$100,3,FALSE)+IF(VLOOKUP($B99,Scores!$A$2:$I$100,3,FALSE)=MAX(Calculations!$O$6:$O$105),1,0)+$E99))</f>
        <v/>
      </c>
      <c r="H99" s="25" t="str">
        <f>IF($B99="","",IF(VLOOKUP($B99,Scores!$A$2:$I$100,4,FALSE)=0,"",VLOOKUP($B99,Scores!$A$2:$I$100,4,FALSE)+IF(VLOOKUP($B99,Scores!$A$2:$I$100,4,FALSE)=MAX(Calculations!$P$6:$P$105),1,0)+$E99))</f>
        <v/>
      </c>
      <c r="I99" s="25" t="str">
        <f>IF($B99="","",IF(VLOOKUP($B99,Scores!$A$2:$I$100,5,FALSE)=0,"",VLOOKUP($B99,Scores!$A$2:$I$100,5,FALSE)+IF(VLOOKUP($B99,Scores!$A$2:$I$100,5,FALSE)=MAX(Calculations!$Q$6:$Q$105),1,0)+$E99))</f>
        <v/>
      </c>
      <c r="J99" s="25" t="str">
        <f>IF($B99="","",IF(VLOOKUP($B99,Scores!$A$2:$I$100,6,FALSE)=0,"",VLOOKUP($B99,Scores!$A$2:$I$100,6,FALSE)+IF(VLOOKUP($B99,Scores!$A$2:$I$100,6,FALSE)=MAX(Calculations!$R$6:$R$105),1,0)+$E99))</f>
        <v/>
      </c>
      <c r="K99" s="25" t="str">
        <f>IF($B99="","",IF(VLOOKUP($B99,Scores!$A$2:$I$100,7,FALSE)=0,"",VLOOKUP($B99,Scores!$A$2:$I$100,7,FALSE)+IF(VLOOKUP($B99,Scores!$A$2:$I$100,7,FALSE)=MAX(Calculations!$S$6:$S$105),1,0)+$E99))</f>
        <v/>
      </c>
      <c r="L99" s="25" t="str">
        <f>IF($B99="","",IF(VLOOKUP($B99,Scores!$A$2:$I$100,8,FALSE)=0,"",VLOOKUP($B99,Scores!$A$2:$I$100,8,FALSE)+IF(VLOOKUP($B99,Scores!$A$2:$I$100,8,FALSE)=MAX(Calculations!$T$6:$T$105),1,0)+$E99))</f>
        <v/>
      </c>
      <c r="M99" s="25" t="str">
        <f>IF($B99="","",IF(VLOOKUP($B99,Scores!$A$2:$I$100,9,FALSE)=0,"",VLOOKUP($B99,Scores!$A$2:$I$100,9,FALSE)+IF(VLOOKUP($B99,Scores!$A$2:$I$100,9,FALSE)=MAX(Calculations!$U$6:$U$105),1,0)+$E99))</f>
        <v/>
      </c>
      <c r="N99" s="27">
        <f t="shared" si="35"/>
        <v>0</v>
      </c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idden="1" x14ac:dyDescent="0.3">
      <c r="A100">
        <v>4</v>
      </c>
      <c r="B100" s="28"/>
      <c r="C100" s="29" t="str">
        <f>IF(B100="","",VLOOKUP(B100,Lookups!$A$2:$F$108,3,FALSE))</f>
        <v/>
      </c>
      <c r="D100" s="30" t="str">
        <f>IF(B100="","",VLOOKUP(B100,Lookups!$A$2:$F$109,6,FALSE))</f>
        <v/>
      </c>
      <c r="E100" s="29" t="str">
        <f>IFERROR(VLOOKUP(C100,Lookups!$K$11:$L$16,2,FALSE),"")</f>
        <v/>
      </c>
      <c r="F100" s="25" t="str">
        <f>IF($B100="","",IF(VLOOKUP($B100,Scores!$A$2:$I$100,2,FALSE)=0,"",VLOOKUP($B100,Scores!$A$2:$I$100,2,FALSE)+IF(VLOOKUP($B100,Scores!$A$2:$I$100,2,FALSE)=MAX(Calculations!$N$6:$N$105),1,0)+$E100))</f>
        <v/>
      </c>
      <c r="G100" s="25" t="str">
        <f>IF($B100="","",IF(VLOOKUP($B100,Scores!$A$2:$I$100,3,FALSE)=0,"",VLOOKUP($B100,Scores!$A$2:$I$100,3,FALSE)+IF(VLOOKUP($B100,Scores!$A$2:$I$100,3,FALSE)=MAX(Calculations!$O$6:$O$105),1,0)+$E100))</f>
        <v/>
      </c>
      <c r="H100" s="25" t="str">
        <f>IF($B100="","",IF(VLOOKUP($B100,Scores!$A$2:$I$100,4,FALSE)=0,"",VLOOKUP($B100,Scores!$A$2:$I$100,4,FALSE)+IF(VLOOKUP($B100,Scores!$A$2:$I$100,4,FALSE)=MAX(Calculations!$P$6:$P$105),1,0)+$E100))</f>
        <v/>
      </c>
      <c r="I100" s="25" t="str">
        <f>IF($B100="","",IF(VLOOKUP($B100,Scores!$A$2:$I$100,5,FALSE)=0,"",VLOOKUP($B100,Scores!$A$2:$I$100,5,FALSE)+IF(VLOOKUP($B100,Scores!$A$2:$I$100,5,FALSE)=MAX(Calculations!$Q$6:$Q$105),1,0)+$E100))</f>
        <v/>
      </c>
      <c r="J100" s="25" t="str">
        <f>IF($B100="","",IF(VLOOKUP($B100,Scores!$A$2:$I$100,6,FALSE)=0,"",VLOOKUP($B100,Scores!$A$2:$I$100,6,FALSE)+IF(VLOOKUP($B100,Scores!$A$2:$I$100,6,FALSE)=MAX(Calculations!$R$6:$R$105),1,0)+$E100))</f>
        <v/>
      </c>
      <c r="K100" s="25" t="str">
        <f>IF($B100="","",IF(VLOOKUP($B100,Scores!$A$2:$I$100,7,FALSE)=0,"",VLOOKUP($B100,Scores!$A$2:$I$100,7,FALSE)+IF(VLOOKUP($B100,Scores!$A$2:$I$100,7,FALSE)=MAX(Calculations!$S$6:$S$105),1,0)+$E100))</f>
        <v/>
      </c>
      <c r="L100" s="25" t="str">
        <f>IF($B100="","",IF(VLOOKUP($B100,Scores!$A$2:$I$100,8,FALSE)=0,"",VLOOKUP($B100,Scores!$A$2:$I$100,8,FALSE)+IF(VLOOKUP($B100,Scores!$A$2:$I$100,8,FALSE)=MAX(Calculations!$T$6:$T$105),1,0)+$E100))</f>
        <v/>
      </c>
      <c r="M100" s="25" t="str">
        <f>IF($B100="","",IF(VLOOKUP($B100,Scores!$A$2:$I$100,9,FALSE)=0,"",VLOOKUP($B100,Scores!$A$2:$I$100,9,FALSE)+IF(VLOOKUP($B100,Scores!$A$2:$I$100,9,FALSE)=MAX(Calculations!$U$6:$U$105),1,0)+$E100))</f>
        <v/>
      </c>
      <c r="N100" s="27">
        <f t="shared" si="35"/>
        <v>0</v>
      </c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</row>
    <row r="101" spans="1:44" hidden="1" x14ac:dyDescent="0.3">
      <c r="A101">
        <v>5</v>
      </c>
      <c r="B101" s="28"/>
      <c r="C101" s="29" t="str">
        <f>IF(B101="","",VLOOKUP(B101,Lookups!$A$2:$F$108,3,FALSE))</f>
        <v/>
      </c>
      <c r="D101" s="30" t="str">
        <f>IF(B101="","",VLOOKUP(B101,Lookups!$A$2:$F$109,6,FALSE))</f>
        <v/>
      </c>
      <c r="E101" s="29" t="str">
        <f>IFERROR(VLOOKUP(C101,Lookups!$K$11:$L$16,2,FALSE),"")</f>
        <v/>
      </c>
      <c r="F101" s="25" t="str">
        <f>IF($B101="","",IF(VLOOKUP($B101,Scores!$A$2:$I$100,2,FALSE)=0,"",VLOOKUP($B101,Scores!$A$2:$I$100,2,FALSE)+IF(VLOOKUP($B101,Scores!$A$2:$I$100,2,FALSE)=MAX(Calculations!$N$6:$N$105),1,0)+$E101))</f>
        <v/>
      </c>
      <c r="G101" s="25" t="str">
        <f>IF($B101="","",IF(VLOOKUP($B101,Scores!$A$2:$I$100,3,FALSE)=0,"",VLOOKUP($B101,Scores!$A$2:$I$100,3,FALSE)+IF(VLOOKUP($B101,Scores!$A$2:$I$100,3,FALSE)=MAX(Calculations!$O$6:$O$105),1,0)+$E101))</f>
        <v/>
      </c>
      <c r="H101" s="25" t="str">
        <f>IF($B101="","",IF(VLOOKUP($B101,Scores!$A$2:$I$100,4,FALSE)=0,"",VLOOKUP($B101,Scores!$A$2:$I$100,4,FALSE)+IF(VLOOKUP($B101,Scores!$A$2:$I$100,4,FALSE)=MAX(Calculations!$P$6:$P$105),1,0)+$E101))</f>
        <v/>
      </c>
      <c r="I101" s="25" t="str">
        <f>IF($B101="","",IF(VLOOKUP($B101,Scores!$A$2:$I$100,5,FALSE)=0,"",VLOOKUP($B101,Scores!$A$2:$I$100,5,FALSE)+IF(VLOOKUP($B101,Scores!$A$2:$I$100,5,FALSE)=MAX(Calculations!$Q$6:$Q$105),1,0)+$E101))</f>
        <v/>
      </c>
      <c r="J101" s="25" t="str">
        <f>IF($B101="","",IF(VLOOKUP($B101,Scores!$A$2:$I$100,6,FALSE)=0,"",VLOOKUP($B101,Scores!$A$2:$I$100,6,FALSE)+IF(VLOOKUP($B101,Scores!$A$2:$I$100,6,FALSE)=MAX(Calculations!$R$6:$R$105),1,0)+$E101))</f>
        <v/>
      </c>
      <c r="K101" s="25" t="str">
        <f>IF($B101="","",IF(VLOOKUP($B101,Scores!$A$2:$I$100,7,FALSE)=0,"",VLOOKUP($B101,Scores!$A$2:$I$100,7,FALSE)+IF(VLOOKUP($B101,Scores!$A$2:$I$100,7,FALSE)=MAX(Calculations!$S$6:$S$105),1,0)+$E101))</f>
        <v/>
      </c>
      <c r="L101" s="25" t="str">
        <f>IF($B101="","",IF(VLOOKUP($B101,Scores!$A$2:$I$100,8,FALSE)=0,"",VLOOKUP($B101,Scores!$A$2:$I$100,8,FALSE)+IF(VLOOKUP($B101,Scores!$A$2:$I$100,8,FALSE)=MAX(Calculations!$T$6:$T$105),1,0)+$E101))</f>
        <v/>
      </c>
      <c r="M101" s="25" t="str">
        <f>IF($B101="","",IF(VLOOKUP($B101,Scores!$A$2:$I$100,9,FALSE)=0,"",VLOOKUP($B101,Scores!$A$2:$I$100,9,FALSE)+IF(VLOOKUP($B101,Scores!$A$2:$I$100,9,FALSE)=MAX(Calculations!$U$6:$U$105),1,0)+$E101))</f>
        <v/>
      </c>
      <c r="N101" s="27">
        <f t="shared" si="35"/>
        <v>0</v>
      </c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</row>
    <row r="102" spans="1:44" hidden="1" x14ac:dyDescent="0.3">
      <c r="A102">
        <v>6</v>
      </c>
      <c r="B102" s="28"/>
      <c r="C102" s="29" t="str">
        <f>IF(B102="","",VLOOKUP(B102,Lookups!$A$2:$F$108,3,FALSE))</f>
        <v/>
      </c>
      <c r="D102" s="30" t="str">
        <f>IF(B102="","",VLOOKUP(B102,Lookups!$A$2:$F$109,6,FALSE))</f>
        <v/>
      </c>
      <c r="E102" s="29" t="str">
        <f>IFERROR(VLOOKUP(C102,Lookups!$K$11:$L$16,2,FALSE),"")</f>
        <v/>
      </c>
      <c r="F102" s="25" t="str">
        <f>IF($B102="","",IF(VLOOKUP($B102,Scores!$A$2:$I$100,2,FALSE)=0,"",VLOOKUP($B102,Scores!$A$2:$I$100,2,FALSE)+IF(VLOOKUP($B102,Scores!$A$2:$I$100,2,FALSE)=MAX(Calculations!$N$6:$N$105),1,0)+$E102))</f>
        <v/>
      </c>
      <c r="G102" s="25" t="str">
        <f>IF($B102="","",IF(VLOOKUP($B102,Scores!$A$2:$I$100,3,FALSE)=0,"",VLOOKUP($B102,Scores!$A$2:$I$100,3,FALSE)+IF(VLOOKUP($B102,Scores!$A$2:$I$100,3,FALSE)=MAX(Calculations!$O$6:$O$105),1,0)+$E102))</f>
        <v/>
      </c>
      <c r="H102" s="25" t="str">
        <f>IF($B102="","",IF(VLOOKUP($B102,Scores!$A$2:$I$100,4,FALSE)=0,"",VLOOKUP($B102,Scores!$A$2:$I$100,4,FALSE)+IF(VLOOKUP($B102,Scores!$A$2:$I$100,4,FALSE)=MAX(Calculations!$P$6:$P$105),1,0)+$E102))</f>
        <v/>
      </c>
      <c r="I102" s="25" t="str">
        <f>IF($B102="","",IF(VLOOKUP($B102,Scores!$A$2:$I$100,5,FALSE)=0,"",VLOOKUP($B102,Scores!$A$2:$I$100,5,FALSE)+IF(VLOOKUP($B102,Scores!$A$2:$I$100,5,FALSE)=MAX(Calculations!$Q$6:$Q$105),1,0)+$E102))</f>
        <v/>
      </c>
      <c r="J102" s="25" t="str">
        <f>IF($B102="","",IF(VLOOKUP($B102,Scores!$A$2:$I$100,6,FALSE)=0,"",VLOOKUP($B102,Scores!$A$2:$I$100,6,FALSE)+IF(VLOOKUP($B102,Scores!$A$2:$I$100,6,FALSE)=MAX(Calculations!$R$6:$R$105),1,0)+$E102))</f>
        <v/>
      </c>
      <c r="K102" s="25" t="str">
        <f>IF($B102="","",IF(VLOOKUP($B102,Scores!$A$2:$I$100,7,FALSE)=0,"",VLOOKUP($B102,Scores!$A$2:$I$100,7,FALSE)+IF(VLOOKUP($B102,Scores!$A$2:$I$100,7,FALSE)=MAX(Calculations!$S$6:$S$105),1,0)+$E102))</f>
        <v/>
      </c>
      <c r="L102" s="25" t="str">
        <f>IF($B102="","",IF(VLOOKUP($B102,Scores!$A$2:$I$100,8,FALSE)=0,"",VLOOKUP($B102,Scores!$A$2:$I$100,8,FALSE)+IF(VLOOKUP($B102,Scores!$A$2:$I$100,8,FALSE)=MAX(Calculations!$T$6:$T$105),1,0)+$E102))</f>
        <v/>
      </c>
      <c r="M102" s="25" t="str">
        <f>IF($B102="","",IF(VLOOKUP($B102,Scores!$A$2:$I$100,9,FALSE)=0,"",VLOOKUP($B102,Scores!$A$2:$I$100,9,FALSE)+IF(VLOOKUP($B102,Scores!$A$2:$I$100,9,FALSE)=MAX(Calculations!$U$6:$U$105),1,0)+$E102))</f>
        <v/>
      </c>
      <c r="N102" s="27">
        <f t="shared" si="35"/>
        <v>0</v>
      </c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</row>
    <row r="103" spans="1:44" ht="15" hidden="1" thickBot="1" x14ac:dyDescent="0.35">
      <c r="C103" s="36"/>
      <c r="E103" s="120" t="s">
        <v>192</v>
      </c>
      <c r="F103" s="25"/>
      <c r="G103" s="25"/>
      <c r="H103" s="25"/>
      <c r="I103" s="25"/>
      <c r="J103" s="25"/>
      <c r="K103" s="25"/>
      <c r="L103" s="25"/>
      <c r="M103" s="25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</row>
    <row r="104" spans="1:44" ht="15" hidden="1" thickBot="1" x14ac:dyDescent="0.35">
      <c r="E104" s="31"/>
      <c r="F104" s="25"/>
      <c r="G104" s="25"/>
      <c r="H104" s="25"/>
      <c r="I104" s="25"/>
      <c r="J104" s="25"/>
      <c r="K104" s="25"/>
      <c r="L104" s="25"/>
      <c r="M104" s="25"/>
      <c r="N104" s="98">
        <f>SUM(F104:M104)</f>
        <v>0</v>
      </c>
    </row>
    <row r="105" spans="1:44" hidden="1" x14ac:dyDescent="0.3">
      <c r="B105" t="s">
        <v>148</v>
      </c>
    </row>
    <row r="106" spans="1:44" hidden="1" x14ac:dyDescent="0.3">
      <c r="A106">
        <v>1</v>
      </c>
      <c r="B106" s="28"/>
      <c r="C106" s="29" t="str">
        <f>IF(B106="","",VLOOKUP(B106,Lookups!$A$2:$F$108,3,FALSE))</f>
        <v/>
      </c>
      <c r="D106" s="30" t="str">
        <f>IF(B106="","",VLOOKUP(B106,Lookups!$A$2:$F$109,6,FALSE))</f>
        <v/>
      </c>
      <c r="E106" s="29" t="str">
        <f>IFERROR(VLOOKUP(C106,Lookups!$K$11:$L$16,2,FALSE),"")</f>
        <v/>
      </c>
      <c r="F106" s="25" t="str">
        <f>IF($B106="","",IF(VLOOKUP($B106,Scores!$A$2:$I$100,2,FALSE)=0,"",VLOOKUP($B106,Scores!$A$2:$I$100,2,FALSE)+IF(VLOOKUP($B106,Scores!$A$2:$I$100,2,FALSE)=MAX(Calculations!$N$6:$N$105),1,0)+$E106))</f>
        <v/>
      </c>
      <c r="G106" s="25" t="str">
        <f>IF($B106="","",IF(VLOOKUP($B106,Scores!$A$2:$I$100,3,FALSE)=0,"",VLOOKUP($B106,Scores!$A$2:$I$100,3,FALSE)+IF(VLOOKUP($B106,Scores!$A$2:$I$100,3,FALSE)=MAX(Calculations!$O$6:$O$105),1,0)+$E106))</f>
        <v/>
      </c>
      <c r="H106" s="25" t="str">
        <f>IF($B106="","",IF(VLOOKUP($B106,Scores!$A$2:$I$100,4,FALSE)=0,"",VLOOKUP($B106,Scores!$A$2:$I$100,4,FALSE)+IF(VLOOKUP($B106,Scores!$A$2:$I$100,4,FALSE)=MAX(Calculations!$P$6:$P$105),1,0)+$E106))</f>
        <v/>
      </c>
      <c r="I106" s="25" t="str">
        <f>IF($B106="","",IF(VLOOKUP($B106,Scores!$A$2:$I$100,5,FALSE)=0,"",VLOOKUP($B106,Scores!$A$2:$I$100,5,FALSE)+IF(VLOOKUP($B106,Scores!$A$2:$I$100,5,FALSE)=MAX(Calculations!$Q$6:$Q$105),1,0)+$E106))</f>
        <v/>
      </c>
      <c r="J106" s="25" t="str">
        <f>IF($B106="","",IF(VLOOKUP($B106,Scores!$A$2:$I$100,6,FALSE)=0,"",VLOOKUP($B106,Scores!$A$2:$I$100,6,FALSE)+IF(VLOOKUP($B106,Scores!$A$2:$I$100,6,FALSE)=MAX(Calculations!$R$6:$R$105),1,0)+$E106))</f>
        <v/>
      </c>
      <c r="K106" s="25" t="str">
        <f>IF($B106="","",IF(VLOOKUP($B106,Scores!$A$2:$I$100,7,FALSE)=0,"",VLOOKUP($B106,Scores!$A$2:$I$100,7,FALSE)+IF(VLOOKUP($B106,Scores!$A$2:$I$100,7,FALSE)=MAX(Calculations!$S$6:$S$105),1,0)+$E106))</f>
        <v/>
      </c>
      <c r="L106" s="25" t="str">
        <f>IF($B106="","",IF(VLOOKUP($B106,Scores!$A$2:$I$100,8,FALSE)=0,"",VLOOKUP($B106,Scores!$A$2:$I$100,8,FALSE)+IF(VLOOKUP($B106,Scores!$A$2:$I$100,8,FALSE)=MAX(Calculations!$T$6:$T$105),1,0)+$E106))</f>
        <v/>
      </c>
      <c r="M106" s="25" t="str">
        <f>IF($B106="","",IF(VLOOKUP($B106,Scores!$A$2:$I$100,9,FALSE)=0,"",VLOOKUP($B106,Scores!$A$2:$I$100,9,FALSE)+IF(VLOOKUP($B106,Scores!$A$2:$I$100,9,FALSE)=MAX(Calculations!$U$6:$U$105),1,0)+$E106))</f>
        <v/>
      </c>
      <c r="N106" s="27">
        <f>SUM(F106:M106)</f>
        <v>0</v>
      </c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</row>
    <row r="107" spans="1:44" hidden="1" x14ac:dyDescent="0.3">
      <c r="A107">
        <v>2</v>
      </c>
      <c r="B107" s="28"/>
      <c r="C107" s="29" t="str">
        <f>IF(B107="","",VLOOKUP(B107,Lookups!$A$2:$F$108,3,FALSE))</f>
        <v/>
      </c>
      <c r="D107" s="30" t="str">
        <f>IF(B107="","",VLOOKUP(B107,Lookups!$A$2:$F$109,6,FALSE))</f>
        <v/>
      </c>
      <c r="E107" s="29" t="str">
        <f>IFERROR(VLOOKUP(C107,Lookups!$K$11:$L$16,2,FALSE),"")</f>
        <v/>
      </c>
      <c r="F107" s="25" t="str">
        <f>IF($B107="","",IF(VLOOKUP($B107,Scores!$A$2:$I$100,2,FALSE)=0,"",VLOOKUP($B107,Scores!$A$2:$I$100,2,FALSE)+IF(VLOOKUP($B107,Scores!$A$2:$I$100,2,FALSE)=MAX(Calculations!$N$6:$N$105),1,0)+$E107))</f>
        <v/>
      </c>
      <c r="G107" s="25" t="str">
        <f>IF($B107="","",IF(VLOOKUP($B107,Scores!$A$2:$I$100,3,FALSE)=0,"",VLOOKUP($B107,Scores!$A$2:$I$100,3,FALSE)+IF(VLOOKUP($B107,Scores!$A$2:$I$100,3,FALSE)=MAX(Calculations!$O$6:$O$105),1,0)+$E107))</f>
        <v/>
      </c>
      <c r="H107" s="25" t="str">
        <f>IF($B107="","",IF(VLOOKUP($B107,Scores!$A$2:$I$100,4,FALSE)=0,"",VLOOKUP($B107,Scores!$A$2:$I$100,4,FALSE)+IF(VLOOKUP($B107,Scores!$A$2:$I$100,4,FALSE)=MAX(Calculations!$P$6:$P$105),1,0)+$E107))</f>
        <v/>
      </c>
      <c r="I107" s="25" t="str">
        <f>IF($B107="","",IF(VLOOKUP($B107,Scores!$A$2:$I$100,5,FALSE)=0,"",VLOOKUP($B107,Scores!$A$2:$I$100,5,FALSE)+IF(VLOOKUP($B107,Scores!$A$2:$I$100,5,FALSE)=MAX(Calculations!$Q$6:$Q$105),1,0)+$E107))</f>
        <v/>
      </c>
      <c r="J107" s="25" t="str">
        <f>IF($B107="","",IF(VLOOKUP($B107,Scores!$A$2:$I$100,6,FALSE)=0,"",VLOOKUP($B107,Scores!$A$2:$I$100,6,FALSE)+IF(VLOOKUP($B107,Scores!$A$2:$I$100,6,FALSE)=MAX(Calculations!$R$6:$R$105),1,0)+$E107))</f>
        <v/>
      </c>
      <c r="K107" s="25" t="str">
        <f>IF($B107="","",IF(VLOOKUP($B107,Scores!$A$2:$I$100,7,FALSE)=0,"",VLOOKUP($B107,Scores!$A$2:$I$100,7,FALSE)+IF(VLOOKUP($B107,Scores!$A$2:$I$100,7,FALSE)=MAX(Calculations!$S$6:$S$105),1,0)+$E107))</f>
        <v/>
      </c>
      <c r="L107" s="25" t="str">
        <f>IF($B107="","",IF(VLOOKUP($B107,Scores!$A$2:$I$100,8,FALSE)=0,"",VLOOKUP($B107,Scores!$A$2:$I$100,8,FALSE)+IF(VLOOKUP($B107,Scores!$A$2:$I$100,8,FALSE)=MAX(Calculations!$T$6:$T$105),1,0)+$E107))</f>
        <v/>
      </c>
      <c r="M107" s="25" t="str">
        <f>IF($B107="","",IF(VLOOKUP($B107,Scores!$A$2:$I$100,9,FALSE)=0,"",VLOOKUP($B107,Scores!$A$2:$I$100,9,FALSE)+IF(VLOOKUP($B107,Scores!$A$2:$I$100,9,FALSE)=MAX(Calculations!$U$6:$U$105),1,0)+$E107))</f>
        <v/>
      </c>
      <c r="N107" s="27">
        <f t="shared" ref="N107:N111" si="36">SUM(F107:M107)</f>
        <v>0</v>
      </c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</row>
    <row r="108" spans="1:44" hidden="1" x14ac:dyDescent="0.3">
      <c r="A108">
        <v>3</v>
      </c>
      <c r="B108" s="28"/>
      <c r="C108" s="29" t="str">
        <f>IF(B108="","",VLOOKUP(B108,Lookups!$A$2:$F$108,3,FALSE))</f>
        <v/>
      </c>
      <c r="D108" s="30" t="str">
        <f>IF(B108="","",VLOOKUP(B108,Lookups!$A$2:$F$109,6,FALSE))</f>
        <v/>
      </c>
      <c r="E108" s="29" t="str">
        <f>IFERROR(VLOOKUP(C108,Lookups!$K$11:$L$16,2,FALSE),"")</f>
        <v/>
      </c>
      <c r="F108" s="25" t="str">
        <f>IF($B108="","",IF(VLOOKUP($B108,Scores!$A$2:$I$100,2,FALSE)=0,"",VLOOKUP($B108,Scores!$A$2:$I$100,2,FALSE)+IF(VLOOKUP($B108,Scores!$A$2:$I$100,2,FALSE)=MAX(Calculations!$N$6:$N$105),1,0)+$E108))</f>
        <v/>
      </c>
      <c r="G108" s="25" t="str">
        <f>IF($B108="","",IF(VLOOKUP($B108,Scores!$A$2:$I$100,3,FALSE)=0,"",VLOOKUP($B108,Scores!$A$2:$I$100,3,FALSE)+IF(VLOOKUP($B108,Scores!$A$2:$I$100,3,FALSE)=MAX(Calculations!$O$6:$O$105),1,0)+$E108))</f>
        <v/>
      </c>
      <c r="H108" s="25" t="str">
        <f>IF($B108="","",IF(VLOOKUP($B108,Scores!$A$2:$I$100,4,FALSE)=0,"",VLOOKUP($B108,Scores!$A$2:$I$100,4,FALSE)+IF(VLOOKUP($B108,Scores!$A$2:$I$100,4,FALSE)=MAX(Calculations!$P$6:$P$105),1,0)+$E108))</f>
        <v/>
      </c>
      <c r="I108" s="25" t="str">
        <f>IF($B108="","",IF(VLOOKUP($B108,Scores!$A$2:$I$100,5,FALSE)=0,"",VLOOKUP($B108,Scores!$A$2:$I$100,5,FALSE)+IF(VLOOKUP($B108,Scores!$A$2:$I$100,5,FALSE)=MAX(Calculations!$Q$6:$Q$105),1,0)+$E108))</f>
        <v/>
      </c>
      <c r="J108" s="25" t="str">
        <f>IF($B108="","",IF(VLOOKUP($B108,Scores!$A$2:$I$100,6,FALSE)=0,"",VLOOKUP($B108,Scores!$A$2:$I$100,6,FALSE)+IF(VLOOKUP($B108,Scores!$A$2:$I$100,6,FALSE)=MAX(Calculations!$R$6:$R$105),1,0)+$E108))</f>
        <v/>
      </c>
      <c r="K108" s="25" t="str">
        <f>IF($B108="","",IF(VLOOKUP($B108,Scores!$A$2:$I$100,7,FALSE)=0,"",VLOOKUP($B108,Scores!$A$2:$I$100,7,FALSE)+IF(VLOOKUP($B108,Scores!$A$2:$I$100,7,FALSE)=MAX(Calculations!$S$6:$S$105),1,0)+$E108))</f>
        <v/>
      </c>
      <c r="L108" s="25" t="str">
        <f>IF($B108="","",IF(VLOOKUP($B108,Scores!$A$2:$I$100,8,FALSE)=0,"",VLOOKUP($B108,Scores!$A$2:$I$100,8,FALSE)+IF(VLOOKUP($B108,Scores!$A$2:$I$100,8,FALSE)=MAX(Calculations!$T$6:$T$105),1,0)+$E108))</f>
        <v/>
      </c>
      <c r="M108" s="25" t="str">
        <f>IF($B108="","",IF(VLOOKUP($B108,Scores!$A$2:$I$100,9,FALSE)=0,"",VLOOKUP($B108,Scores!$A$2:$I$100,9,FALSE)+IF(VLOOKUP($B108,Scores!$A$2:$I$100,9,FALSE)=MAX(Calculations!$U$6:$U$105),1,0)+$E108))</f>
        <v/>
      </c>
      <c r="N108" s="27">
        <f t="shared" si="36"/>
        <v>0</v>
      </c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</row>
    <row r="109" spans="1:44" hidden="1" x14ac:dyDescent="0.3">
      <c r="A109">
        <v>4</v>
      </c>
      <c r="B109" s="28"/>
      <c r="C109" s="29" t="str">
        <f>IF(B109="","",VLOOKUP(B109,Lookups!$A$2:$F$108,3,FALSE))</f>
        <v/>
      </c>
      <c r="D109" s="30" t="str">
        <f>IF(B109="","",VLOOKUP(B109,Lookups!$A$2:$F$109,6,FALSE))</f>
        <v/>
      </c>
      <c r="E109" s="29" t="str">
        <f>IFERROR(VLOOKUP(C109,Lookups!$K$11:$L$16,2,FALSE),"")</f>
        <v/>
      </c>
      <c r="F109" s="25" t="str">
        <f>IF($B109="","",IF(VLOOKUP($B109,Scores!$A$2:$I$100,2,FALSE)=0,"",VLOOKUP($B109,Scores!$A$2:$I$100,2,FALSE)+IF(VLOOKUP($B109,Scores!$A$2:$I$100,2,FALSE)=MAX(Calculations!$N$6:$N$105),1,0)+$E109))</f>
        <v/>
      </c>
      <c r="G109" s="25" t="str">
        <f>IF($B109="","",IF(VLOOKUP($B109,Scores!$A$2:$I$100,3,FALSE)=0,"",VLOOKUP($B109,Scores!$A$2:$I$100,3,FALSE)+IF(VLOOKUP($B109,Scores!$A$2:$I$100,3,FALSE)=MAX(Calculations!$O$6:$O$105),1,0)+$E109))</f>
        <v/>
      </c>
      <c r="H109" s="25" t="str">
        <f>IF($B109="","",IF(VLOOKUP($B109,Scores!$A$2:$I$100,4,FALSE)=0,"",VLOOKUP($B109,Scores!$A$2:$I$100,4,FALSE)+IF(VLOOKUP($B109,Scores!$A$2:$I$100,4,FALSE)=MAX(Calculations!$P$6:$P$105),1,0)+$E109))</f>
        <v/>
      </c>
      <c r="I109" s="25" t="str">
        <f>IF($B109="","",IF(VLOOKUP($B109,Scores!$A$2:$I$100,5,FALSE)=0,"",VLOOKUP($B109,Scores!$A$2:$I$100,5,FALSE)+IF(VLOOKUP($B109,Scores!$A$2:$I$100,5,FALSE)=MAX(Calculations!$Q$6:$Q$105),1,0)+$E109))</f>
        <v/>
      </c>
      <c r="J109" s="25" t="str">
        <f>IF($B109="","",IF(VLOOKUP($B109,Scores!$A$2:$I$100,6,FALSE)=0,"",VLOOKUP($B109,Scores!$A$2:$I$100,6,FALSE)+IF(VLOOKUP($B109,Scores!$A$2:$I$100,6,FALSE)=MAX(Calculations!$R$6:$R$105),1,0)+$E109))</f>
        <v/>
      </c>
      <c r="K109" s="25" t="str">
        <f>IF($B109="","",IF(VLOOKUP($B109,Scores!$A$2:$I$100,7,FALSE)=0,"",VLOOKUP($B109,Scores!$A$2:$I$100,7,FALSE)+IF(VLOOKUP($B109,Scores!$A$2:$I$100,7,FALSE)=MAX(Calculations!$S$6:$S$105),1,0)+$E109))</f>
        <v/>
      </c>
      <c r="L109" s="25" t="str">
        <f>IF($B109="","",IF(VLOOKUP($B109,Scores!$A$2:$I$100,8,FALSE)=0,"",VLOOKUP($B109,Scores!$A$2:$I$100,8,FALSE)+IF(VLOOKUP($B109,Scores!$A$2:$I$100,8,FALSE)=MAX(Calculations!$T$6:$T$105),1,0)+$E109))</f>
        <v/>
      </c>
      <c r="M109" s="25" t="str">
        <f>IF($B109="","",IF(VLOOKUP($B109,Scores!$A$2:$I$100,9,FALSE)=0,"",VLOOKUP($B109,Scores!$A$2:$I$100,9,FALSE)+IF(VLOOKUP($B109,Scores!$A$2:$I$100,9,FALSE)=MAX(Calculations!$U$6:$U$105),1,0)+$E109))</f>
        <v/>
      </c>
      <c r="N109" s="27">
        <f t="shared" si="36"/>
        <v>0</v>
      </c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</row>
    <row r="110" spans="1:44" hidden="1" x14ac:dyDescent="0.3">
      <c r="A110">
        <v>5</v>
      </c>
      <c r="B110" s="28"/>
      <c r="C110" s="29" t="str">
        <f>IF(B110="","",VLOOKUP(B110,Lookups!$A$2:$F$108,3,FALSE))</f>
        <v/>
      </c>
      <c r="D110" s="30" t="str">
        <f>IF(B110="","",VLOOKUP(B110,Lookups!$A$2:$F$109,6,FALSE))</f>
        <v/>
      </c>
      <c r="E110" s="29" t="str">
        <f>IFERROR(VLOOKUP(C110,Lookups!$K$11:$L$16,2,FALSE),"")</f>
        <v/>
      </c>
      <c r="F110" s="25" t="str">
        <f>IF($B110="","",IF(VLOOKUP($B110,Scores!$A$2:$I$100,2,FALSE)=0,"",VLOOKUP($B110,Scores!$A$2:$I$100,2,FALSE)+IF(VLOOKUP($B110,Scores!$A$2:$I$100,2,FALSE)=MAX(Calculations!$N$6:$N$105),1,0)+$E110))</f>
        <v/>
      </c>
      <c r="G110" s="25" t="str">
        <f>IF($B110="","",IF(VLOOKUP($B110,Scores!$A$2:$I$100,3,FALSE)=0,"",VLOOKUP($B110,Scores!$A$2:$I$100,3,FALSE)+IF(VLOOKUP($B110,Scores!$A$2:$I$100,3,FALSE)=MAX(Calculations!$O$6:$O$105),1,0)+$E110))</f>
        <v/>
      </c>
      <c r="H110" s="25" t="str">
        <f>IF($B110="","",IF(VLOOKUP($B110,Scores!$A$2:$I$100,4,FALSE)=0,"",VLOOKUP($B110,Scores!$A$2:$I$100,4,FALSE)+IF(VLOOKUP($B110,Scores!$A$2:$I$100,4,FALSE)=MAX(Calculations!$P$6:$P$105),1,0)+$E110))</f>
        <v/>
      </c>
      <c r="I110" s="25" t="str">
        <f>IF($B110="","",IF(VLOOKUP($B110,Scores!$A$2:$I$100,5,FALSE)=0,"",VLOOKUP($B110,Scores!$A$2:$I$100,5,FALSE)+IF(VLOOKUP($B110,Scores!$A$2:$I$100,5,FALSE)=MAX(Calculations!$Q$6:$Q$105),1,0)+$E110))</f>
        <v/>
      </c>
      <c r="J110" s="25" t="str">
        <f>IF($B110="","",IF(VLOOKUP($B110,Scores!$A$2:$I$100,6,FALSE)=0,"",VLOOKUP($B110,Scores!$A$2:$I$100,6,FALSE)+IF(VLOOKUP($B110,Scores!$A$2:$I$100,6,FALSE)=MAX(Calculations!$R$6:$R$105),1,0)+$E110))</f>
        <v/>
      </c>
      <c r="K110" s="25" t="str">
        <f>IF($B110="","",IF(VLOOKUP($B110,Scores!$A$2:$I$100,7,FALSE)=0,"",VLOOKUP($B110,Scores!$A$2:$I$100,7,FALSE)+IF(VLOOKUP($B110,Scores!$A$2:$I$100,7,FALSE)=MAX(Calculations!$S$6:$S$105),1,0)+$E110))</f>
        <v/>
      </c>
      <c r="L110" s="25" t="str">
        <f>IF($B110="","",IF(VLOOKUP($B110,Scores!$A$2:$I$100,8,FALSE)=0,"",VLOOKUP($B110,Scores!$A$2:$I$100,8,FALSE)+IF(VLOOKUP($B110,Scores!$A$2:$I$100,8,FALSE)=MAX(Calculations!$T$6:$T$105),1,0)+$E110))</f>
        <v/>
      </c>
      <c r="M110" s="25" t="str">
        <f>IF($B110="","",IF(VLOOKUP($B110,Scores!$A$2:$I$100,9,FALSE)=0,"",VLOOKUP($B110,Scores!$A$2:$I$100,9,FALSE)+IF(VLOOKUP($B110,Scores!$A$2:$I$100,9,FALSE)=MAX(Calculations!$U$6:$U$105),1,0)+$E110))</f>
        <v/>
      </c>
      <c r="N110" s="27">
        <f t="shared" si="36"/>
        <v>0</v>
      </c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</row>
    <row r="111" spans="1:44" hidden="1" x14ac:dyDescent="0.3">
      <c r="A111">
        <v>6</v>
      </c>
      <c r="B111" s="28"/>
      <c r="C111" s="29" t="str">
        <f>IF(B111="","",VLOOKUP(B111,Lookups!$A$2:$F$108,3,FALSE))</f>
        <v/>
      </c>
      <c r="D111" s="30" t="str">
        <f>IF(B111="","",VLOOKUP(B111,Lookups!$A$2:$F$109,6,FALSE))</f>
        <v/>
      </c>
      <c r="E111" s="29" t="str">
        <f>IFERROR(VLOOKUP(C111,Lookups!$K$11:$L$16,2,FALSE),"")</f>
        <v/>
      </c>
      <c r="F111" s="25" t="str">
        <f>IF($B111="","",IF(VLOOKUP($B111,Scores!$A$2:$I$100,2,FALSE)=0,"",VLOOKUP($B111,Scores!$A$2:$I$100,2,FALSE)+IF(VLOOKUP($B111,Scores!$A$2:$I$100,2,FALSE)=MAX(Calculations!$N$6:$N$105),1,0)+$E111))</f>
        <v/>
      </c>
      <c r="G111" s="25" t="str">
        <f>IF($B111="","",IF(VLOOKUP($B111,Scores!$A$2:$I$100,3,FALSE)=0,"",VLOOKUP($B111,Scores!$A$2:$I$100,3,FALSE)+IF(VLOOKUP($B111,Scores!$A$2:$I$100,3,FALSE)=MAX(Calculations!$O$6:$O$105),1,0)+$E111))</f>
        <v/>
      </c>
      <c r="H111" s="25" t="str">
        <f>IF($B111="","",IF(VLOOKUP($B111,Scores!$A$2:$I$100,4,FALSE)=0,"",VLOOKUP($B111,Scores!$A$2:$I$100,4,FALSE)+IF(VLOOKUP($B111,Scores!$A$2:$I$100,4,FALSE)=MAX(Calculations!$P$6:$P$105),1,0)+$E111))</f>
        <v/>
      </c>
      <c r="I111" s="25" t="str">
        <f>IF($B111="","",IF(VLOOKUP($B111,Scores!$A$2:$I$100,5,FALSE)=0,"",VLOOKUP($B111,Scores!$A$2:$I$100,5,FALSE)+IF(VLOOKUP($B111,Scores!$A$2:$I$100,5,FALSE)=MAX(Calculations!$Q$6:$Q$105),1,0)+$E111))</f>
        <v/>
      </c>
      <c r="J111" s="25" t="str">
        <f>IF($B111="","",IF(VLOOKUP($B111,Scores!$A$2:$I$100,6,FALSE)=0,"",VLOOKUP($B111,Scores!$A$2:$I$100,6,FALSE)+IF(VLOOKUP($B111,Scores!$A$2:$I$100,6,FALSE)=MAX(Calculations!$R$6:$R$105),1,0)+$E111))</f>
        <v/>
      </c>
      <c r="K111" s="25" t="str">
        <f>IF($B111="","",IF(VLOOKUP($B111,Scores!$A$2:$I$100,7,FALSE)=0,"",VLOOKUP($B111,Scores!$A$2:$I$100,7,FALSE)+IF(VLOOKUP($B111,Scores!$A$2:$I$100,7,FALSE)=MAX(Calculations!$S$6:$S$105),1,0)+$E111))</f>
        <v/>
      </c>
      <c r="L111" s="25" t="str">
        <f>IF($B111="","",IF(VLOOKUP($B111,Scores!$A$2:$I$100,8,FALSE)=0,"",VLOOKUP($B111,Scores!$A$2:$I$100,8,FALSE)+IF(VLOOKUP($B111,Scores!$A$2:$I$100,8,FALSE)=MAX(Calculations!$T$6:$T$105),1,0)+$E111))</f>
        <v/>
      </c>
      <c r="M111" s="25" t="str">
        <f>IF($B111="","",IF(VLOOKUP($B111,Scores!$A$2:$I$100,9,FALSE)=0,"",VLOOKUP($B111,Scores!$A$2:$I$100,9,FALSE)+IF(VLOOKUP($B111,Scores!$A$2:$I$100,9,FALSE)=MAX(Calculations!$U$6:$U$105),1,0)+$E111))</f>
        <v/>
      </c>
      <c r="N111" s="27">
        <f t="shared" si="36"/>
        <v>0</v>
      </c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</row>
    <row r="112" spans="1:44" ht="15" hidden="1" thickBot="1" x14ac:dyDescent="0.35">
      <c r="C112" s="36"/>
      <c r="E112" s="120" t="s">
        <v>192</v>
      </c>
      <c r="F112" s="25"/>
      <c r="G112" s="25"/>
      <c r="H112" s="25"/>
      <c r="I112" s="25"/>
      <c r="J112" s="25"/>
      <c r="K112" s="25"/>
      <c r="L112" s="25"/>
      <c r="M112" s="25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</row>
    <row r="113" spans="1:53" ht="15" hidden="1" thickBot="1" x14ac:dyDescent="0.35">
      <c r="E113" s="31"/>
      <c r="F113" s="25"/>
      <c r="G113" s="25"/>
      <c r="H113" s="25"/>
      <c r="I113" s="25"/>
      <c r="J113" s="25"/>
      <c r="K113" s="25"/>
      <c r="L113" s="25"/>
      <c r="M113" s="25"/>
      <c r="N113" s="98">
        <f>SUM(F113:M113)</f>
        <v>0</v>
      </c>
    </row>
    <row r="114" spans="1:53" hidden="1" x14ac:dyDescent="0.3">
      <c r="B114" t="s">
        <v>149</v>
      </c>
    </row>
    <row r="115" spans="1:53" hidden="1" x14ac:dyDescent="0.3">
      <c r="A115">
        <v>1</v>
      </c>
      <c r="B115" s="28"/>
      <c r="C115" s="29" t="str">
        <f>IF(B115="","",VLOOKUP(B115,Lookups!$A$2:$F$108,3,FALSE))</f>
        <v/>
      </c>
      <c r="D115" s="30" t="str">
        <f>IF(B115="","",VLOOKUP(B115,Lookups!$A$2:$F$109,6,FALSE))</f>
        <v/>
      </c>
      <c r="E115" s="29" t="str">
        <f>IFERROR(VLOOKUP(C115,Lookups!$K$11:$L$16,2,FALSE),"")</f>
        <v/>
      </c>
      <c r="F115" s="25" t="str">
        <f>IF($B115="","",IF(VLOOKUP($B115,Scores!$A$2:$I$100,2,FALSE)=0,"",VLOOKUP($B115,Scores!$A$2:$I$100,2,FALSE)+IF(VLOOKUP($B115,Scores!$A$2:$I$100,2,FALSE)=MAX(Calculations!$N$6:$N$105),1,0)+$E115))</f>
        <v/>
      </c>
      <c r="G115" s="25" t="str">
        <f>IF($B115="","",IF(VLOOKUP($B115,Scores!$A$2:$I$100,3,FALSE)=0,"",VLOOKUP($B115,Scores!$A$2:$I$100,3,FALSE)+IF(VLOOKUP($B115,Scores!$A$2:$I$100,3,FALSE)=MAX(Calculations!$O$6:$O$105),1,0)+$E115))</f>
        <v/>
      </c>
      <c r="H115" s="25" t="str">
        <f>IF($B115="","",IF(VLOOKUP($B115,Scores!$A$2:$I$100,4,FALSE)=0,"",VLOOKUP($B115,Scores!$A$2:$I$100,4,FALSE)+IF(VLOOKUP($B115,Scores!$A$2:$I$100,4,FALSE)=MAX(Calculations!$P$6:$P$105),1,0)+$E115))</f>
        <v/>
      </c>
      <c r="I115" s="25" t="str">
        <f>IF($B115="","",IF(VLOOKUP($B115,Scores!$A$2:$I$100,5,FALSE)=0,"",VLOOKUP($B115,Scores!$A$2:$I$100,5,FALSE)+IF(VLOOKUP($B115,Scores!$A$2:$I$100,5,FALSE)=MAX(Calculations!$Q$6:$Q$105),1,0)+$E115))</f>
        <v/>
      </c>
      <c r="J115" s="25" t="str">
        <f>IF($B115="","",IF(VLOOKUP($B115,Scores!$A$2:$I$100,6,FALSE)=0,"",VLOOKUP($B115,Scores!$A$2:$I$100,6,FALSE)+IF(VLOOKUP($B115,Scores!$A$2:$I$100,6,FALSE)=MAX(Calculations!$R$6:$R$105),1,0)+$E115))</f>
        <v/>
      </c>
      <c r="K115" s="25" t="str">
        <f>IF($B115="","",IF(VLOOKUP($B115,Scores!$A$2:$I$100,7,FALSE)=0,"",VLOOKUP($B115,Scores!$A$2:$I$100,7,FALSE)+IF(VLOOKUP($B115,Scores!$A$2:$I$100,7,FALSE)=MAX(Calculations!$S$6:$S$105),1,0)+$E115))</f>
        <v/>
      </c>
      <c r="L115" s="25" t="str">
        <f>IF($B115="","",IF(VLOOKUP($B115,Scores!$A$2:$I$100,8,FALSE)=0,"",VLOOKUP($B115,Scores!$A$2:$I$100,8,FALSE)+IF(VLOOKUP($B115,Scores!$A$2:$I$100,8,FALSE)=MAX(Calculations!$T$6:$T$105),1,0)+$E115))</f>
        <v/>
      </c>
      <c r="M115" s="25" t="str">
        <f>IF($B115="","",IF(VLOOKUP($B115,Scores!$A$2:$I$100,9,FALSE)=0,"",VLOOKUP($B115,Scores!$A$2:$I$100,9,FALSE)+IF(VLOOKUP($B115,Scores!$A$2:$I$100,9,FALSE)=MAX(Calculations!$U$6:$U$105),1,0)+$E115))</f>
        <v/>
      </c>
      <c r="N115" s="27">
        <f>SUM(F115:M115)</f>
        <v>0</v>
      </c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</row>
    <row r="116" spans="1:53" hidden="1" x14ac:dyDescent="0.3">
      <c r="A116">
        <v>2</v>
      </c>
      <c r="B116" s="28"/>
      <c r="C116" s="29" t="str">
        <f>IF(B116="","",VLOOKUP(B116,Lookups!$A$2:$F$108,3,FALSE))</f>
        <v/>
      </c>
      <c r="D116" s="30" t="str">
        <f>IF(B116="","",VLOOKUP(B116,Lookups!$A$2:$F$109,6,FALSE))</f>
        <v/>
      </c>
      <c r="E116" s="29" t="str">
        <f>IFERROR(VLOOKUP(C116,Lookups!$K$11:$L$16,2,FALSE),"")</f>
        <v/>
      </c>
      <c r="F116" s="25" t="str">
        <f>IF($B116="","",IF(VLOOKUP($B116,Scores!$A$2:$I$100,2,FALSE)=0,"",VLOOKUP($B116,Scores!$A$2:$I$100,2,FALSE)+IF(VLOOKUP($B116,Scores!$A$2:$I$100,2,FALSE)=MAX(Calculations!$N$6:$N$105),1,0)+$E116))</f>
        <v/>
      </c>
      <c r="G116" s="25" t="str">
        <f>IF($B116="","",IF(VLOOKUP($B116,Scores!$A$2:$I$100,3,FALSE)=0,"",VLOOKUP($B116,Scores!$A$2:$I$100,3,FALSE)+IF(VLOOKUP($B116,Scores!$A$2:$I$100,3,FALSE)=MAX(Calculations!$O$6:$O$105),1,0)+$E116))</f>
        <v/>
      </c>
      <c r="H116" s="25" t="str">
        <f>IF($B116="","",IF(VLOOKUP($B116,Scores!$A$2:$I$100,4,FALSE)=0,"",VLOOKUP($B116,Scores!$A$2:$I$100,4,FALSE)+IF(VLOOKUP($B116,Scores!$A$2:$I$100,4,FALSE)=MAX(Calculations!$P$6:$P$105),1,0)+$E116))</f>
        <v/>
      </c>
      <c r="I116" s="25" t="str">
        <f>IF($B116="","",IF(VLOOKUP($B116,Scores!$A$2:$I$100,5,FALSE)=0,"",VLOOKUP($B116,Scores!$A$2:$I$100,5,FALSE)+IF(VLOOKUP($B116,Scores!$A$2:$I$100,5,FALSE)=MAX(Calculations!$Q$6:$Q$105),1,0)+$E116))</f>
        <v/>
      </c>
      <c r="J116" s="25" t="str">
        <f>IF($B116="","",IF(VLOOKUP($B116,Scores!$A$2:$I$100,6,FALSE)=0,"",VLOOKUP($B116,Scores!$A$2:$I$100,6,FALSE)+IF(VLOOKUP($B116,Scores!$A$2:$I$100,6,FALSE)=MAX(Calculations!$R$6:$R$105),1,0)+$E116))</f>
        <v/>
      </c>
      <c r="K116" s="25" t="str">
        <f>IF($B116="","",IF(VLOOKUP($B116,Scores!$A$2:$I$100,7,FALSE)=0,"",VLOOKUP($B116,Scores!$A$2:$I$100,7,FALSE)+IF(VLOOKUP($B116,Scores!$A$2:$I$100,7,FALSE)=MAX(Calculations!$S$6:$S$105),1,0)+$E116))</f>
        <v/>
      </c>
      <c r="L116" s="25" t="str">
        <f>IF($B116="","",IF(VLOOKUP($B116,Scores!$A$2:$I$100,8,FALSE)=0,"",VLOOKUP($B116,Scores!$A$2:$I$100,8,FALSE)+IF(VLOOKUP($B116,Scores!$A$2:$I$100,8,FALSE)=MAX(Calculations!$T$6:$T$105),1,0)+$E116))</f>
        <v/>
      </c>
      <c r="M116" s="25" t="str">
        <f>IF($B116="","",IF(VLOOKUP($B116,Scores!$A$2:$I$100,9,FALSE)=0,"",VLOOKUP($B116,Scores!$A$2:$I$100,9,FALSE)+IF(VLOOKUP($B116,Scores!$A$2:$I$100,9,FALSE)=MAX(Calculations!$U$6:$U$105),1,0)+$E116))</f>
        <v/>
      </c>
      <c r="N116" s="27">
        <f t="shared" ref="N116:N120" si="37">SUM(F116:M116)</f>
        <v>0</v>
      </c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</row>
    <row r="117" spans="1:53" hidden="1" x14ac:dyDescent="0.3">
      <c r="A117">
        <v>3</v>
      </c>
      <c r="B117" s="28"/>
      <c r="C117" s="29" t="str">
        <f>IF(B117="","",VLOOKUP(B117,Lookups!$A$2:$F$108,3,FALSE))</f>
        <v/>
      </c>
      <c r="D117" s="30" t="str">
        <f>IF(B117="","",VLOOKUP(B117,Lookups!$A$2:$F$109,6,FALSE))</f>
        <v/>
      </c>
      <c r="E117" s="29" t="str">
        <f>IFERROR(VLOOKUP(C117,Lookups!$K$11:$L$16,2,FALSE),"")</f>
        <v/>
      </c>
      <c r="F117" s="25" t="str">
        <f>IF($B117="","",IF(VLOOKUP($B117,Scores!$A$2:$I$100,2,FALSE)=0,"",VLOOKUP($B117,Scores!$A$2:$I$100,2,FALSE)+IF(VLOOKUP($B117,Scores!$A$2:$I$100,2,FALSE)=MAX(Calculations!$N$6:$N$105),1,0)+$E117))</f>
        <v/>
      </c>
      <c r="G117" s="25" t="str">
        <f>IF($B117="","",IF(VLOOKUP($B117,Scores!$A$2:$I$100,3,FALSE)=0,"",VLOOKUP($B117,Scores!$A$2:$I$100,3,FALSE)+IF(VLOOKUP($B117,Scores!$A$2:$I$100,3,FALSE)=MAX(Calculations!$O$6:$O$105),1,0)+$E117))</f>
        <v/>
      </c>
      <c r="H117" s="25" t="str">
        <f>IF($B117="","",IF(VLOOKUP($B117,Scores!$A$2:$I$100,4,FALSE)=0,"",VLOOKUP($B117,Scores!$A$2:$I$100,4,FALSE)+IF(VLOOKUP($B117,Scores!$A$2:$I$100,4,FALSE)=MAX(Calculations!$P$6:$P$105),1,0)+$E117))</f>
        <v/>
      </c>
      <c r="I117" s="25" t="str">
        <f>IF($B117="","",IF(VLOOKUP($B117,Scores!$A$2:$I$100,5,FALSE)=0,"",VLOOKUP($B117,Scores!$A$2:$I$100,5,FALSE)+IF(VLOOKUP($B117,Scores!$A$2:$I$100,5,FALSE)=MAX(Calculations!$Q$6:$Q$105),1,0)+$E117))</f>
        <v/>
      </c>
      <c r="J117" s="25" t="str">
        <f>IF($B117="","",IF(VLOOKUP($B117,Scores!$A$2:$I$100,6,FALSE)=0,"",VLOOKUP($B117,Scores!$A$2:$I$100,6,FALSE)+IF(VLOOKUP($B117,Scores!$A$2:$I$100,6,FALSE)=MAX(Calculations!$R$6:$R$105),1,0)+$E117))</f>
        <v/>
      </c>
      <c r="K117" s="25" t="str">
        <f>IF($B117="","",IF(VLOOKUP($B117,Scores!$A$2:$I$100,7,FALSE)=0,"",VLOOKUP($B117,Scores!$A$2:$I$100,7,FALSE)+IF(VLOOKUP($B117,Scores!$A$2:$I$100,7,FALSE)=MAX(Calculations!$S$6:$S$105),1,0)+$E117))</f>
        <v/>
      </c>
      <c r="L117" s="25" t="str">
        <f>IF($B117="","",IF(VLOOKUP($B117,Scores!$A$2:$I$100,8,FALSE)=0,"",VLOOKUP($B117,Scores!$A$2:$I$100,8,FALSE)+IF(VLOOKUP($B117,Scores!$A$2:$I$100,8,FALSE)=MAX(Calculations!$T$6:$T$105),1,0)+$E117))</f>
        <v/>
      </c>
      <c r="M117" s="25" t="str">
        <f>IF($B117="","",IF(VLOOKUP($B117,Scores!$A$2:$I$100,9,FALSE)=0,"",VLOOKUP($B117,Scores!$A$2:$I$100,9,FALSE)+IF(VLOOKUP($B117,Scores!$A$2:$I$100,9,FALSE)=MAX(Calculations!$U$6:$U$105),1,0)+$E117))</f>
        <v/>
      </c>
      <c r="N117" s="27">
        <f t="shared" si="37"/>
        <v>0</v>
      </c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</row>
    <row r="118" spans="1:53" hidden="1" x14ac:dyDescent="0.3">
      <c r="A118">
        <v>4</v>
      </c>
      <c r="B118" s="28"/>
      <c r="C118" s="29" t="str">
        <f>IF(B118="","",VLOOKUP(B118,Lookups!$A$2:$F$108,3,FALSE))</f>
        <v/>
      </c>
      <c r="D118" s="30" t="str">
        <f>IF(B118="","",VLOOKUP(B118,Lookups!$A$2:$F$109,6,FALSE))</f>
        <v/>
      </c>
      <c r="E118" s="29" t="str">
        <f>IFERROR(VLOOKUP(C118,Lookups!$K$11:$L$16,2,FALSE),"")</f>
        <v/>
      </c>
      <c r="F118" s="25" t="str">
        <f>IF($B118="","",IF(VLOOKUP($B118,Scores!$A$2:$I$100,2,FALSE)=0,"",VLOOKUP($B118,Scores!$A$2:$I$100,2,FALSE)+IF(VLOOKUP($B118,Scores!$A$2:$I$100,2,FALSE)=MAX(Calculations!$N$6:$N$105),1,0)+$E118))</f>
        <v/>
      </c>
      <c r="G118" s="25" t="str">
        <f>IF($B118="","",IF(VLOOKUP($B118,Scores!$A$2:$I$100,3,FALSE)=0,"",VLOOKUP($B118,Scores!$A$2:$I$100,3,FALSE)+IF(VLOOKUP($B118,Scores!$A$2:$I$100,3,FALSE)=MAX(Calculations!$O$6:$O$105),1,0)+$E118))</f>
        <v/>
      </c>
      <c r="H118" s="25" t="str">
        <f>IF($B118="","",IF(VLOOKUP($B118,Scores!$A$2:$I$100,4,FALSE)=0,"",VLOOKUP($B118,Scores!$A$2:$I$100,4,FALSE)+IF(VLOOKUP($B118,Scores!$A$2:$I$100,4,FALSE)=MAX(Calculations!$P$6:$P$105),1,0)+$E118))</f>
        <v/>
      </c>
      <c r="I118" s="25" t="str">
        <f>IF($B118="","",IF(VLOOKUP($B118,Scores!$A$2:$I$100,5,FALSE)=0,"",VLOOKUP($B118,Scores!$A$2:$I$100,5,FALSE)+IF(VLOOKUP($B118,Scores!$A$2:$I$100,5,FALSE)=MAX(Calculations!$Q$6:$Q$105),1,0)+$E118))</f>
        <v/>
      </c>
      <c r="J118" s="25" t="str">
        <f>IF($B118="","",IF(VLOOKUP($B118,Scores!$A$2:$I$100,6,FALSE)=0,"",VLOOKUP($B118,Scores!$A$2:$I$100,6,FALSE)+IF(VLOOKUP($B118,Scores!$A$2:$I$100,6,FALSE)=MAX(Calculations!$R$6:$R$105),1,0)+$E118))</f>
        <v/>
      </c>
      <c r="K118" s="25" t="str">
        <f>IF($B118="","",IF(VLOOKUP($B118,Scores!$A$2:$I$100,7,FALSE)=0,"",VLOOKUP($B118,Scores!$A$2:$I$100,7,FALSE)+IF(VLOOKUP($B118,Scores!$A$2:$I$100,7,FALSE)=MAX(Calculations!$S$6:$S$105),1,0)+$E118))</f>
        <v/>
      </c>
      <c r="L118" s="25" t="str">
        <f>IF($B118="","",IF(VLOOKUP($B118,Scores!$A$2:$I$100,8,FALSE)=0,"",VLOOKUP($B118,Scores!$A$2:$I$100,8,FALSE)+IF(VLOOKUP($B118,Scores!$A$2:$I$100,8,FALSE)=MAX(Calculations!$T$6:$T$105),1,0)+$E118))</f>
        <v/>
      </c>
      <c r="M118" s="25" t="str">
        <f>IF($B118="","",IF(VLOOKUP($B118,Scores!$A$2:$I$100,9,FALSE)=0,"",VLOOKUP($B118,Scores!$A$2:$I$100,9,FALSE)+IF(VLOOKUP($B118,Scores!$A$2:$I$100,9,FALSE)=MAX(Calculations!$U$6:$U$105),1,0)+$E118))</f>
        <v/>
      </c>
      <c r="N118" s="27">
        <f t="shared" si="37"/>
        <v>0</v>
      </c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</row>
    <row r="119" spans="1:53" hidden="1" x14ac:dyDescent="0.3">
      <c r="A119">
        <v>5</v>
      </c>
      <c r="B119" s="28"/>
      <c r="C119" s="29" t="str">
        <f>IF(B119="","",VLOOKUP(B119,Lookups!$A$2:$F$108,3,FALSE))</f>
        <v/>
      </c>
      <c r="D119" s="30" t="str">
        <f>IF(B119="","",VLOOKUP(B119,Lookups!$A$2:$F$109,6,FALSE))</f>
        <v/>
      </c>
      <c r="E119" s="29" t="str">
        <f>IFERROR(VLOOKUP(C119,Lookups!$K$11:$L$16,2,FALSE),"")</f>
        <v/>
      </c>
      <c r="F119" s="25" t="str">
        <f>IF($B119="","",IF(VLOOKUP($B119,Scores!$A$2:$I$100,2,FALSE)=0,"",VLOOKUP($B119,Scores!$A$2:$I$100,2,FALSE)+IF(VLOOKUP($B119,Scores!$A$2:$I$100,2,FALSE)=MAX(Calculations!$N$6:$N$105),1,0)+$E119))</f>
        <v/>
      </c>
      <c r="G119" s="25" t="str">
        <f>IF($B119="","",IF(VLOOKUP($B119,Scores!$A$2:$I$100,3,FALSE)=0,"",VLOOKUP($B119,Scores!$A$2:$I$100,3,FALSE)+IF(VLOOKUP($B119,Scores!$A$2:$I$100,3,FALSE)=MAX(Calculations!$O$6:$O$105),1,0)+$E119))</f>
        <v/>
      </c>
      <c r="H119" s="25" t="str">
        <f>IF($B119="","",IF(VLOOKUP($B119,Scores!$A$2:$I$100,4,FALSE)=0,"",VLOOKUP($B119,Scores!$A$2:$I$100,4,FALSE)+IF(VLOOKUP($B119,Scores!$A$2:$I$100,4,FALSE)=MAX(Calculations!$P$6:$P$105),1,0)+$E119))</f>
        <v/>
      </c>
      <c r="I119" s="25" t="str">
        <f>IF($B119="","",IF(VLOOKUP($B119,Scores!$A$2:$I$100,5,FALSE)=0,"",VLOOKUP($B119,Scores!$A$2:$I$100,5,FALSE)+IF(VLOOKUP($B119,Scores!$A$2:$I$100,5,FALSE)=MAX(Calculations!$Q$6:$Q$105),1,0)+$E119))</f>
        <v/>
      </c>
      <c r="J119" s="25" t="str">
        <f>IF($B119="","",IF(VLOOKUP($B119,Scores!$A$2:$I$100,6,FALSE)=0,"",VLOOKUP($B119,Scores!$A$2:$I$100,6,FALSE)+IF(VLOOKUP($B119,Scores!$A$2:$I$100,6,FALSE)=MAX(Calculations!$R$6:$R$105),1,0)+$E119))</f>
        <v/>
      </c>
      <c r="K119" s="25" t="str">
        <f>IF($B119="","",IF(VLOOKUP($B119,Scores!$A$2:$I$100,7,FALSE)=0,"",VLOOKUP($B119,Scores!$A$2:$I$100,7,FALSE)+IF(VLOOKUP($B119,Scores!$A$2:$I$100,7,FALSE)=MAX(Calculations!$S$6:$S$105),1,0)+$E119))</f>
        <v/>
      </c>
      <c r="L119" s="25" t="str">
        <f>IF($B119="","",IF(VLOOKUP($B119,Scores!$A$2:$I$100,8,FALSE)=0,"",VLOOKUP($B119,Scores!$A$2:$I$100,8,FALSE)+IF(VLOOKUP($B119,Scores!$A$2:$I$100,8,FALSE)=MAX(Calculations!$T$6:$T$105),1,0)+$E119))</f>
        <v/>
      </c>
      <c r="M119" s="25" t="str">
        <f>IF($B119="","",IF(VLOOKUP($B119,Scores!$A$2:$I$100,9,FALSE)=0,"",VLOOKUP($B119,Scores!$A$2:$I$100,9,FALSE)+IF(VLOOKUP($B119,Scores!$A$2:$I$100,9,FALSE)=MAX(Calculations!$U$6:$U$105),1,0)+$E119))</f>
        <v/>
      </c>
      <c r="N119" s="27">
        <f t="shared" si="37"/>
        <v>0</v>
      </c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</row>
    <row r="120" spans="1:53" hidden="1" x14ac:dyDescent="0.3">
      <c r="A120">
        <v>6</v>
      </c>
      <c r="B120" s="28"/>
      <c r="C120" s="29" t="str">
        <f>IF(B120="","",VLOOKUP(B120,Lookups!$A$2:$F$108,3,FALSE))</f>
        <v/>
      </c>
      <c r="D120" s="30" t="str">
        <f>IF(B120="","",VLOOKUP(B120,Lookups!$A$2:$F$109,6,FALSE))</f>
        <v/>
      </c>
      <c r="E120" s="29" t="str">
        <f>IFERROR(VLOOKUP(C120,Lookups!$K$11:$L$16,2,FALSE),"")</f>
        <v/>
      </c>
      <c r="F120" s="25" t="str">
        <f>IF($B120="","",IF(VLOOKUP($B120,Scores!$A$2:$I$100,2,FALSE)=0,"",VLOOKUP($B120,Scores!$A$2:$I$100,2,FALSE)+IF(VLOOKUP($B120,Scores!$A$2:$I$100,2,FALSE)=MAX(Calculations!$N$6:$N$105),1,0)+$E120))</f>
        <v/>
      </c>
      <c r="G120" s="25" t="str">
        <f>IF($B120="","",IF(VLOOKUP($B120,Scores!$A$2:$I$100,3,FALSE)=0,"",VLOOKUP($B120,Scores!$A$2:$I$100,3,FALSE)+IF(VLOOKUP($B120,Scores!$A$2:$I$100,3,FALSE)=MAX(Calculations!$O$6:$O$105),1,0)+$E120))</f>
        <v/>
      </c>
      <c r="H120" s="25" t="str">
        <f>IF($B120="","",IF(VLOOKUP($B120,Scores!$A$2:$I$100,4,FALSE)=0,"",VLOOKUP($B120,Scores!$A$2:$I$100,4,FALSE)+IF(VLOOKUP($B120,Scores!$A$2:$I$100,4,FALSE)=MAX(Calculations!$P$6:$P$105),1,0)+$E120))</f>
        <v/>
      </c>
      <c r="I120" s="25" t="str">
        <f>IF($B120="","",IF(VLOOKUP($B120,Scores!$A$2:$I$100,5,FALSE)=0,"",VLOOKUP($B120,Scores!$A$2:$I$100,5,FALSE)+IF(VLOOKUP($B120,Scores!$A$2:$I$100,5,FALSE)=MAX(Calculations!$Q$6:$Q$105),1,0)+$E120))</f>
        <v/>
      </c>
      <c r="J120" s="25" t="str">
        <f>IF($B120="","",IF(VLOOKUP($B120,Scores!$A$2:$I$100,6,FALSE)=0,"",VLOOKUP($B120,Scores!$A$2:$I$100,6,FALSE)+IF(VLOOKUP($B120,Scores!$A$2:$I$100,6,FALSE)=MAX(Calculations!$R$6:$R$105),1,0)+$E120))</f>
        <v/>
      </c>
      <c r="K120" s="25" t="str">
        <f>IF($B120="","",IF(VLOOKUP($B120,Scores!$A$2:$I$100,7,FALSE)=0,"",VLOOKUP($B120,Scores!$A$2:$I$100,7,FALSE)+IF(VLOOKUP($B120,Scores!$A$2:$I$100,7,FALSE)=MAX(Calculations!$S$6:$S$105),1,0)+$E120))</f>
        <v/>
      </c>
      <c r="L120" s="25" t="str">
        <f>IF($B120="","",IF(VLOOKUP($B120,Scores!$A$2:$I$100,8,FALSE)=0,"",VLOOKUP($B120,Scores!$A$2:$I$100,8,FALSE)+IF(VLOOKUP($B120,Scores!$A$2:$I$100,8,FALSE)=MAX(Calculations!$T$6:$T$105),1,0)+$E120))</f>
        <v/>
      </c>
      <c r="M120" s="25" t="str">
        <f>IF($B120="","",IF(VLOOKUP($B120,Scores!$A$2:$I$100,9,FALSE)=0,"",VLOOKUP($B120,Scores!$A$2:$I$100,9,FALSE)+IF(VLOOKUP($B120,Scores!$A$2:$I$100,9,FALSE)=MAX(Calculations!$U$6:$U$105),1,0)+$E120))</f>
        <v/>
      </c>
      <c r="N120" s="27">
        <f t="shared" si="37"/>
        <v>0</v>
      </c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</row>
    <row r="121" spans="1:53" ht="15" hidden="1" thickBot="1" x14ac:dyDescent="0.35">
      <c r="C121" s="36"/>
      <c r="E121" s="120" t="s">
        <v>192</v>
      </c>
      <c r="F121" s="25"/>
      <c r="G121" s="25"/>
      <c r="H121" s="25"/>
      <c r="I121" s="25"/>
      <c r="J121" s="25"/>
      <c r="K121" s="25"/>
      <c r="L121" s="25"/>
      <c r="M121" s="25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</row>
    <row r="122" spans="1:53" ht="15" hidden="1" thickBot="1" x14ac:dyDescent="0.35">
      <c r="E122" s="31"/>
      <c r="F122" s="25"/>
      <c r="G122" s="25"/>
      <c r="H122" s="25"/>
      <c r="I122" s="25"/>
      <c r="J122" s="25"/>
      <c r="K122" s="25"/>
      <c r="L122" s="25"/>
      <c r="M122" s="25"/>
      <c r="N122" s="98">
        <f>SUM(F122:M122)</f>
        <v>0</v>
      </c>
    </row>
    <row r="125" spans="1:53" s="121" customFormat="1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</sheetData>
  <conditionalFormatting sqref="F16:M22">
    <cfRule type="expression" dxfId="13" priority="23">
      <formula>"f16=Calculations!$N$4"</formula>
    </cfRule>
  </conditionalFormatting>
  <conditionalFormatting sqref="F25:M31">
    <cfRule type="expression" dxfId="12" priority="11">
      <formula>"f16=Calculations!$N$4"</formula>
    </cfRule>
  </conditionalFormatting>
  <conditionalFormatting sqref="F34:M40">
    <cfRule type="expression" dxfId="11" priority="10">
      <formula>"f16=Calculations!$N$4"</formula>
    </cfRule>
  </conditionalFormatting>
  <conditionalFormatting sqref="F43:M49">
    <cfRule type="expression" dxfId="10" priority="9">
      <formula>"f16=Calculations!$N$4"</formula>
    </cfRule>
  </conditionalFormatting>
  <conditionalFormatting sqref="F52:M58">
    <cfRule type="expression" dxfId="9" priority="8">
      <formula>"f16=Calculations!$N$4"</formula>
    </cfRule>
  </conditionalFormatting>
  <conditionalFormatting sqref="F61:M67">
    <cfRule type="expression" dxfId="8" priority="7">
      <formula>"f16=Calculations!$N$4"</formula>
    </cfRule>
  </conditionalFormatting>
  <conditionalFormatting sqref="F70:M76">
    <cfRule type="expression" dxfId="7" priority="6">
      <formula>"f16=Calculations!$N$4"</formula>
    </cfRule>
  </conditionalFormatting>
  <conditionalFormatting sqref="F79:M85">
    <cfRule type="expression" dxfId="6" priority="5">
      <formula>"f16=Calculations!$N$4"</formula>
    </cfRule>
  </conditionalFormatting>
  <conditionalFormatting sqref="F88:M94">
    <cfRule type="expression" dxfId="5" priority="4">
      <formula>"f16=Calculations!$N$4"</formula>
    </cfRule>
  </conditionalFormatting>
  <conditionalFormatting sqref="F97:M103">
    <cfRule type="expression" dxfId="4" priority="3">
      <formula>"f16=Calculations!$N$4"</formula>
    </cfRule>
  </conditionalFormatting>
  <conditionalFormatting sqref="F106:M112">
    <cfRule type="expression" dxfId="3" priority="2">
      <formula>"f16=Calculations!$N$4"</formula>
    </cfRule>
  </conditionalFormatting>
  <conditionalFormatting sqref="F115:M121">
    <cfRule type="expression" dxfId="2" priority="1">
      <formula>"f16=Calculations!$N$4"</formula>
    </cfRule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CF39-0844-4B56-82CF-BB8C1180B137}">
  <dimension ref="A1:Z99"/>
  <sheetViews>
    <sheetView workbookViewId="0">
      <selection activeCell="K53" sqref="K53:L54"/>
    </sheetView>
  </sheetViews>
  <sheetFormatPr defaultColWidth="0" defaultRowHeight="14.4" zeroHeight="1" x14ac:dyDescent="0.3"/>
  <cols>
    <col min="1" max="1" width="5.109375" style="36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7" width="7.5546875" customWidth="1"/>
    <col min="8" max="12" width="9.109375" customWidth="1"/>
    <col min="13" max="14" width="9.109375" hidden="1" customWidth="1"/>
    <col min="15" max="18" width="9.109375" customWidth="1"/>
    <col min="19" max="22" width="9.109375" hidden="1" customWidth="1"/>
    <col min="23" max="26" width="0" hidden="1" customWidth="1"/>
    <col min="27" max="16384" width="9.109375" hidden="1"/>
  </cols>
  <sheetData>
    <row r="1" spans="1:17" s="90" customFormat="1" ht="48.75" customHeight="1" x14ac:dyDescent="0.25">
      <c r="B1" s="91"/>
      <c r="C1" s="92"/>
      <c r="D1" s="92"/>
      <c r="E1" s="92"/>
      <c r="F1" s="92"/>
      <c r="G1" s="92"/>
      <c r="H1" s="93"/>
      <c r="I1" s="94"/>
      <c r="J1" s="95"/>
      <c r="K1" s="95"/>
      <c r="L1" s="95"/>
      <c r="M1" s="94"/>
    </row>
    <row r="2" spans="1:17" ht="28.8" x14ac:dyDescent="0.3">
      <c r="A2" s="69" t="s">
        <v>170</v>
      </c>
      <c r="B2" s="70" t="s">
        <v>0</v>
      </c>
      <c r="C2" s="70" t="s">
        <v>1</v>
      </c>
      <c r="D2" s="70" t="s">
        <v>2</v>
      </c>
      <c r="E2" s="70" t="s">
        <v>3</v>
      </c>
      <c r="F2" s="70" t="s">
        <v>4</v>
      </c>
      <c r="G2" s="71" t="s">
        <v>150</v>
      </c>
      <c r="H2" s="71" t="s">
        <v>151</v>
      </c>
      <c r="I2" s="71" t="s">
        <v>152</v>
      </c>
      <c r="J2" s="71" t="s">
        <v>153</v>
      </c>
      <c r="K2" s="71" t="s">
        <v>154</v>
      </c>
      <c r="L2" s="71" t="s">
        <v>155</v>
      </c>
      <c r="M2" s="71" t="s">
        <v>156</v>
      </c>
      <c r="N2" s="71" t="s">
        <v>157</v>
      </c>
      <c r="O2" s="73" t="s">
        <v>166</v>
      </c>
      <c r="P2" s="73" t="s">
        <v>169</v>
      </c>
      <c r="Q2" s="74"/>
    </row>
    <row r="3" spans="1:17" ht="15" x14ac:dyDescent="0.3">
      <c r="A3" s="36">
        <v>1</v>
      </c>
      <c r="B3" s="35" t="str">
        <f>IFERROR(VLOOKUP(A3,Calculations!$D$6:$AI$136,3,FALSE),"")</f>
        <v>Austin Glass</v>
      </c>
      <c r="C3" s="75">
        <f>IFERROR(VLOOKUP(A3,Calculations!$D$6:$AI$136,4,FALSE),"")</f>
        <v>968</v>
      </c>
      <c r="D3" s="75" t="str">
        <f>IFERROR(VLOOKUP(A3,Calculations!$D$6:$AI$136,5,FALSE),"")</f>
        <v>AA</v>
      </c>
      <c r="E3" s="75" t="str">
        <f>IFERROR(VLOOKUP(A3,Calculations!$D$6:$AI$136,8,FALSE),"")</f>
        <v>PCP</v>
      </c>
      <c r="F3" s="75" t="str">
        <f>IFERROR(VLOOKUP(A3,Calculations!$D$6:$AI$136,9,FALSE),"")</f>
        <v>Weston Warrior</v>
      </c>
      <c r="G3" s="76">
        <f>IFERROR(VLOOKUP(A3,Calculations!$D$6:$AI$136,11,FALSE),"")</f>
        <v>37</v>
      </c>
      <c r="H3" s="76">
        <f>IFERROR(VLOOKUP(A3,Calculations!$D$6:$AI$136,12,FALSE),"")</f>
        <v>31</v>
      </c>
      <c r="I3" s="76">
        <f>IFERROR(VLOOKUP(A3,Calculations!$D$6:$AI$136,13,FALSE),"")</f>
        <v>33</v>
      </c>
      <c r="J3" s="76">
        <f>IFERROR(VLOOKUP(A3,Calculations!$D$6:$AI$136,14,FALSE),"")</f>
        <v>32</v>
      </c>
      <c r="K3" s="76">
        <f>IFERROR(VLOOKUP(A3,Calculations!$D$6:$AI$136,15,FALSE),"")</f>
        <v>33</v>
      </c>
      <c r="L3" s="76">
        <f>IFERROR(VLOOKUP(A3,Calculations!$D$6:$AI$136,16,FALSE),"")</f>
        <v>35</v>
      </c>
      <c r="M3" s="76" t="str">
        <f>IFERROR(VLOOKUP(A3,Calculations!$D$6:$AI$136,17,FALSE),"")</f>
        <v/>
      </c>
      <c r="N3" s="76" t="str">
        <f>IFERROR(VLOOKUP(A3,Calculations!$D$6:$AI$136,18,FALSE),"")</f>
        <v/>
      </c>
      <c r="O3" s="58">
        <f>IFERROR(VLOOKUP(A3,Calculations!$D$6:$AI$136,27,FALSE),"")</f>
        <v>6</v>
      </c>
      <c r="P3" s="125">
        <f>IFERROR(VLOOKUP(A3,Calculations!$D$6:$AI$136,30,FALSE),"")</f>
        <v>201</v>
      </c>
    </row>
    <row r="4" spans="1:17" ht="15" x14ac:dyDescent="0.3">
      <c r="A4" s="36">
        <v>2</v>
      </c>
      <c r="B4" s="35" t="str">
        <f>IFERROR(VLOOKUP(A4,Calculations!$D$6:$AI$136,3,FALSE),"")</f>
        <v>Dave Page Starr</v>
      </c>
      <c r="C4" s="75" t="str">
        <f>IFERROR(VLOOKUP(A4,Calculations!$D$6:$AI$136,4,FALSE),"")</f>
        <v/>
      </c>
      <c r="D4" s="75" t="str">
        <f>IFERROR(VLOOKUP(A4,Calculations!$D$6:$AI$136,5,FALSE),"")</f>
        <v>A</v>
      </c>
      <c r="E4" s="75" t="str">
        <f>IFERROR(VLOOKUP(A4,Calculations!$D$6:$AI$136,8,FALSE),"")</f>
        <v>PCP</v>
      </c>
      <c r="F4" s="75" t="str">
        <f>IFERROR(VLOOKUP(A4,Calculations!$D$6:$AI$136,9,FALSE),"")</f>
        <v>Weston Warrior</v>
      </c>
      <c r="G4" s="76">
        <f>IFERROR(VLOOKUP(A4,Calculations!$D$6:$AI$136,11,FALSE),"")</f>
        <v>34</v>
      </c>
      <c r="H4" s="76">
        <f>IFERROR(VLOOKUP(A4,Calculations!$D$6:$AI$136,12,FALSE),"")</f>
        <v>29</v>
      </c>
      <c r="I4" s="76">
        <f>IFERROR(VLOOKUP(A4,Calculations!$D$6:$AI$136,13,FALSE),"")</f>
        <v>34</v>
      </c>
      <c r="J4" s="76">
        <f>IFERROR(VLOOKUP(A4,Calculations!$D$6:$AI$136,14,FALSE),"")</f>
        <v>32</v>
      </c>
      <c r="K4" s="76">
        <f>IFERROR(VLOOKUP(A4,Calculations!$D$6:$AI$136,15,FALSE),"")</f>
        <v>37</v>
      </c>
      <c r="L4" s="76">
        <f>IFERROR(VLOOKUP(A4,Calculations!$D$6:$AI$136,16,FALSE),"")</f>
        <v>34</v>
      </c>
      <c r="M4" s="76" t="str">
        <f>IFERROR(VLOOKUP(A4,Calculations!$D$6:$AI$136,17,FALSE),"")</f>
        <v/>
      </c>
      <c r="N4" s="76" t="str">
        <f>IFERROR(VLOOKUP(A4,Calculations!$D$6:$AI$136,18,FALSE),"")</f>
        <v/>
      </c>
      <c r="O4" s="58">
        <f>IFERROR(VLOOKUP(A4,Calculations!$D$6:$AI$136,27,FALSE),"")</f>
        <v>6</v>
      </c>
      <c r="P4" s="125">
        <f>IFERROR(VLOOKUP(A4,Calculations!$D$6:$AI$136,30,FALSE),"")</f>
        <v>200</v>
      </c>
    </row>
    <row r="5" spans="1:17" ht="15" x14ac:dyDescent="0.3">
      <c r="A5" s="36">
        <v>3</v>
      </c>
      <c r="B5" s="35" t="str">
        <f>IFERROR(VLOOKUP(A5,Calculations!$D$6:$AI$136,3,FALSE),"")</f>
        <v>Glenn Newman</v>
      </c>
      <c r="C5" s="75">
        <f>IFERROR(VLOOKUP(A5,Calculations!$D$6:$AI$136,4,FALSE),"")</f>
        <v>834</v>
      </c>
      <c r="D5" s="75" t="str">
        <f>IFERROR(VLOOKUP(A5,Calculations!$D$6:$AI$136,5,FALSE),"")</f>
        <v>AA</v>
      </c>
      <c r="E5" s="75" t="str">
        <f>IFERROR(VLOOKUP(A5,Calculations!$D$6:$AI$136,8,FALSE),"")</f>
        <v>PCP</v>
      </c>
      <c r="F5" s="75" t="str">
        <f>IFERROR(VLOOKUP(A5,Calculations!$D$6:$AI$136,9,FALSE),"")</f>
        <v>Weston Warrior</v>
      </c>
      <c r="G5" s="76">
        <f>IFERROR(VLOOKUP(A5,Calculations!$D$6:$AI$136,11,FALSE),"")</f>
        <v>34</v>
      </c>
      <c r="H5" s="76">
        <f>IFERROR(VLOOKUP(A5,Calculations!$D$6:$AI$136,12,FALSE),"")</f>
        <v>27</v>
      </c>
      <c r="I5" s="76">
        <f>IFERROR(VLOOKUP(A5,Calculations!$D$6:$AI$136,13,FALSE),"")</f>
        <v>37</v>
      </c>
      <c r="J5" s="76">
        <f>IFERROR(VLOOKUP(A5,Calculations!$D$6:$AI$136,14,FALSE),"")</f>
        <v>29</v>
      </c>
      <c r="K5" s="76">
        <f>IFERROR(VLOOKUP(A5,Calculations!$D$6:$AI$136,15,FALSE),"")</f>
        <v>32</v>
      </c>
      <c r="L5" s="76">
        <f>IFERROR(VLOOKUP(A5,Calculations!$D$6:$AI$136,16,FALSE),"")</f>
        <v>36</v>
      </c>
      <c r="M5" s="76" t="str">
        <f>IFERROR(VLOOKUP(A5,Calculations!$D$6:$AI$136,17,FALSE),"")</f>
        <v/>
      </c>
      <c r="N5" s="76" t="str">
        <f>IFERROR(VLOOKUP(A5,Calculations!$D$6:$AI$136,18,FALSE),"")</f>
        <v/>
      </c>
      <c r="O5" s="58">
        <f>IFERROR(VLOOKUP(A5,Calculations!$D$6:$AI$136,27,FALSE),"")</f>
        <v>6</v>
      </c>
      <c r="P5" s="125">
        <f>IFERROR(VLOOKUP(A5,Calculations!$D$6:$AI$136,30,FALSE),"")</f>
        <v>195</v>
      </c>
    </row>
    <row r="6" spans="1:17" ht="15" x14ac:dyDescent="0.3">
      <c r="A6" s="36">
        <v>4</v>
      </c>
      <c r="B6" s="35" t="str">
        <f>IFERROR(VLOOKUP(A6,Calculations!$D$6:$AI$136,3,FALSE),"")</f>
        <v>Mel Hills</v>
      </c>
      <c r="C6" s="75">
        <f>IFERROR(VLOOKUP(A6,Calculations!$D$6:$AI$136,4,FALSE),"")</f>
        <v>1691</v>
      </c>
      <c r="D6" s="75" t="str">
        <f>IFERROR(VLOOKUP(A6,Calculations!$D$6:$AI$136,5,FALSE),"")</f>
        <v>AA</v>
      </c>
      <c r="E6" s="75" t="str">
        <f>IFERROR(VLOOKUP(A6,Calculations!$D$6:$AI$136,8,FALSE),"")</f>
        <v>PCP</v>
      </c>
      <c r="F6" s="75" t="str">
        <f>IFERROR(VLOOKUP(A6,Calculations!$D$6:$AI$136,9,FALSE),"")</f>
        <v>Frobury</v>
      </c>
      <c r="G6" s="76">
        <f>IFERROR(VLOOKUP(A6,Calculations!$D$6:$AI$136,11,FALSE),"")</f>
        <v>29</v>
      </c>
      <c r="H6" s="76">
        <f>IFERROR(VLOOKUP(A6,Calculations!$D$6:$AI$136,12,FALSE),"")</f>
        <v>29</v>
      </c>
      <c r="I6" s="76">
        <f>IFERROR(VLOOKUP(A6,Calculations!$D$6:$AI$136,13,FALSE),"")</f>
        <v>33</v>
      </c>
      <c r="J6" s="76">
        <f>IFERROR(VLOOKUP(A6,Calculations!$D$6:$AI$136,14,FALSE),"")</f>
        <v>34</v>
      </c>
      <c r="K6" s="76">
        <f>IFERROR(VLOOKUP(A6,Calculations!$D$6:$AI$136,15,FALSE),"")</f>
        <v>31</v>
      </c>
      <c r="L6" s="76">
        <f>IFERROR(VLOOKUP(A6,Calculations!$D$6:$AI$136,16,FALSE),"")</f>
        <v>35</v>
      </c>
      <c r="M6" s="76" t="str">
        <f>IFERROR(VLOOKUP(A6,Calculations!$D$6:$AI$136,17,FALSE),"")</f>
        <v/>
      </c>
      <c r="N6" s="76" t="str">
        <f>IFERROR(VLOOKUP(A6,Calculations!$D$6:$AI$136,18,FALSE),"")</f>
        <v/>
      </c>
      <c r="O6" s="58">
        <f>IFERROR(VLOOKUP(A6,Calculations!$D$6:$AI$136,27,FALSE),"")</f>
        <v>6</v>
      </c>
      <c r="P6" s="125">
        <f>IFERROR(VLOOKUP(A6,Calculations!$D$6:$AI$136,30,FALSE),"")</f>
        <v>191</v>
      </c>
    </row>
    <row r="7" spans="1:17" ht="15" x14ac:dyDescent="0.3">
      <c r="A7" s="36">
        <v>5</v>
      </c>
      <c r="B7" s="35" t="str">
        <f>IFERROR(VLOOKUP(A7,Calculations!$D$6:$AI$136,3,FALSE),"")</f>
        <v>Terry Holt</v>
      </c>
      <c r="C7" s="75">
        <f>IFERROR(VLOOKUP(A7,Calculations!$D$6:$AI$136,4,FALSE),"")</f>
        <v>1688</v>
      </c>
      <c r="D7" s="75" t="str">
        <f>IFERROR(VLOOKUP(A7,Calculations!$D$6:$AI$136,5,FALSE),"")</f>
        <v>AA</v>
      </c>
      <c r="E7" s="75" t="str">
        <f>IFERROR(VLOOKUP(A7,Calculations!$D$6:$AI$136,8,FALSE),"")</f>
        <v>PCP</v>
      </c>
      <c r="F7" s="75" t="str">
        <f>IFERROR(VLOOKUP(A7,Calculations!$D$6:$AI$136,9,FALSE),"")</f>
        <v>Frobury</v>
      </c>
      <c r="G7" s="76">
        <f>IFERROR(VLOOKUP(A7,Calculations!$D$6:$AI$136,11,FALSE),"")</f>
        <v>36</v>
      </c>
      <c r="H7" s="76" t="str">
        <f>IFERROR(VLOOKUP(A7,Calculations!$D$6:$AI$136,12,FALSE),"")</f>
        <v/>
      </c>
      <c r="I7" s="76">
        <f>IFERROR(VLOOKUP(A7,Calculations!$D$6:$AI$136,13,FALSE),"")</f>
        <v>36</v>
      </c>
      <c r="J7" s="76">
        <f>IFERROR(VLOOKUP(A7,Calculations!$D$6:$AI$136,14,FALSE),"")</f>
        <v>34</v>
      </c>
      <c r="K7" s="76">
        <f>IFERROR(VLOOKUP(A7,Calculations!$D$6:$AI$136,15,FALSE),"")</f>
        <v>34</v>
      </c>
      <c r="L7" s="76">
        <f>IFERROR(VLOOKUP(A7,Calculations!$D$6:$AI$136,16,FALSE),"")</f>
        <v>37</v>
      </c>
      <c r="M7" s="76" t="str">
        <f>IFERROR(VLOOKUP(A7,Calculations!$D$6:$AI$136,17,FALSE),"")</f>
        <v/>
      </c>
      <c r="N7" s="76" t="str">
        <f>IFERROR(VLOOKUP(A7,Calculations!$D$6:$AI$136,18,FALSE),"")</f>
        <v/>
      </c>
      <c r="O7" s="58">
        <f>IFERROR(VLOOKUP(A7,Calculations!$D$6:$AI$136,27,FALSE),"")</f>
        <v>5</v>
      </c>
      <c r="P7" s="125">
        <f>IFERROR(VLOOKUP(A7,Calculations!$D$6:$AI$136,30,FALSE),"")</f>
        <v>177</v>
      </c>
    </row>
    <row r="8" spans="1:17" ht="15" x14ac:dyDescent="0.3">
      <c r="A8" s="36">
        <v>6</v>
      </c>
      <c r="B8" s="35" t="str">
        <f>IFERROR(VLOOKUP(A8,Calculations!$D$6:$AI$136,3,FALSE),"")</f>
        <v>Justin Wood</v>
      </c>
      <c r="C8" s="75">
        <f>IFERROR(VLOOKUP(A8,Calculations!$D$6:$AI$136,4,FALSE),"")</f>
        <v>1065</v>
      </c>
      <c r="D8" s="75" t="str">
        <f>IFERROR(VLOOKUP(A8,Calculations!$D$6:$AI$136,5,FALSE),"")</f>
        <v>AA</v>
      </c>
      <c r="E8" s="75" t="str">
        <f>IFERROR(VLOOKUP(A8,Calculations!$D$6:$AI$136,8,FALSE),"")</f>
        <v>PCP</v>
      </c>
      <c r="F8" s="75" t="str">
        <f>IFERROR(VLOOKUP(A8,Calculations!$D$6:$AI$136,9,FALSE),"")</f>
        <v>Meon</v>
      </c>
      <c r="G8" s="76">
        <f>IFERROR(VLOOKUP(A8,Calculations!$D$6:$AI$136,11,FALSE),"")</f>
        <v>36</v>
      </c>
      <c r="H8" s="76">
        <f>IFERROR(VLOOKUP(A8,Calculations!$D$6:$AI$136,12,FALSE),"")</f>
        <v>29</v>
      </c>
      <c r="I8" s="76" t="str">
        <f>IFERROR(VLOOKUP(A8,Calculations!$D$6:$AI$136,13,FALSE),"")</f>
        <v/>
      </c>
      <c r="J8" s="76">
        <f>IFERROR(VLOOKUP(A8,Calculations!$D$6:$AI$136,14,FALSE),"")</f>
        <v>36</v>
      </c>
      <c r="K8" s="76">
        <f>IFERROR(VLOOKUP(A8,Calculations!$D$6:$AI$136,15,FALSE),"")</f>
        <v>38</v>
      </c>
      <c r="L8" s="76">
        <f>IFERROR(VLOOKUP(A8,Calculations!$D$6:$AI$136,16,FALSE),"")</f>
        <v>37</v>
      </c>
      <c r="M8" s="76" t="str">
        <f>IFERROR(VLOOKUP(A8,Calculations!$D$6:$AI$136,17,FALSE),"")</f>
        <v/>
      </c>
      <c r="N8" s="76" t="str">
        <f>IFERROR(VLOOKUP(A8,Calculations!$D$6:$AI$136,18,FALSE),"")</f>
        <v/>
      </c>
      <c r="O8" s="58">
        <f>IFERROR(VLOOKUP(A8,Calculations!$D$6:$AI$136,27,FALSE),"")</f>
        <v>5</v>
      </c>
      <c r="P8" s="125">
        <f>IFERROR(VLOOKUP(A8,Calculations!$D$6:$AI$136,30,FALSE),"")</f>
        <v>176</v>
      </c>
    </row>
    <row r="9" spans="1:17" ht="15" x14ac:dyDescent="0.3">
      <c r="A9" s="36">
        <v>7</v>
      </c>
      <c r="B9" s="35" t="str">
        <f>IFERROR(VLOOKUP(A9,Calculations!$D$6:$AI$136,3,FALSE),"")</f>
        <v>Clinton Bedding</v>
      </c>
      <c r="C9" s="75">
        <f>IFERROR(VLOOKUP(A9,Calculations!$D$6:$AI$136,4,FALSE),"")</f>
        <v>447</v>
      </c>
      <c r="D9" s="75" t="str">
        <f>IFERROR(VLOOKUP(A9,Calculations!$D$6:$AI$136,5,FALSE),"")</f>
        <v>A</v>
      </c>
      <c r="E9" s="75" t="str">
        <f>IFERROR(VLOOKUP(A9,Calculations!$D$6:$AI$136,8,FALSE),"")</f>
        <v>PCP</v>
      </c>
      <c r="F9" s="75" t="str">
        <f>IFERROR(VLOOKUP(A9,Calculations!$D$6:$AI$136,9,FALSE),"")</f>
        <v>Weston Warrior</v>
      </c>
      <c r="G9" s="76">
        <f>IFERROR(VLOOKUP(A9,Calculations!$D$6:$AI$136,11,FALSE),"")</f>
        <v>29</v>
      </c>
      <c r="H9" s="76">
        <f>IFERROR(VLOOKUP(A9,Calculations!$D$6:$AI$136,12,FALSE),"")</f>
        <v>24</v>
      </c>
      <c r="I9" s="76">
        <f>IFERROR(VLOOKUP(A9,Calculations!$D$6:$AI$136,13,FALSE),"")</f>
        <v>30</v>
      </c>
      <c r="J9" s="76">
        <f>IFERROR(VLOOKUP(A9,Calculations!$D$6:$AI$136,14,FALSE),"")</f>
        <v>29</v>
      </c>
      <c r="K9" s="76">
        <f>IFERROR(VLOOKUP(A9,Calculations!$D$6:$AI$136,15,FALSE),"")</f>
        <v>30</v>
      </c>
      <c r="L9" s="76">
        <f>IFERROR(VLOOKUP(A9,Calculations!$D$6:$AI$136,16,FALSE),"")</f>
        <v>30</v>
      </c>
      <c r="M9" s="76" t="str">
        <f>IFERROR(VLOOKUP(A9,Calculations!$D$6:$AI$136,17,FALSE),"")</f>
        <v/>
      </c>
      <c r="N9" s="76" t="str">
        <f>IFERROR(VLOOKUP(A9,Calculations!$D$6:$AI$136,18,FALSE),"")</f>
        <v/>
      </c>
      <c r="O9" s="58">
        <f>IFERROR(VLOOKUP(A9,Calculations!$D$6:$AI$136,27,FALSE),"")</f>
        <v>6</v>
      </c>
      <c r="P9" s="125">
        <f>IFERROR(VLOOKUP(A9,Calculations!$D$6:$AI$136,30,FALSE),"")</f>
        <v>172</v>
      </c>
    </row>
    <row r="10" spans="1:17" ht="15" x14ac:dyDescent="0.3">
      <c r="A10" s="36">
        <v>8</v>
      </c>
      <c r="B10" s="35" t="str">
        <f>IFERROR(VLOOKUP(A10,Calculations!$D$6:$AI$136,3,FALSE),"")</f>
        <v>Stuart Noakes</v>
      </c>
      <c r="C10" s="75">
        <f>IFERROR(VLOOKUP(A10,Calculations!$D$6:$AI$136,4,FALSE),"")</f>
        <v>1888</v>
      </c>
      <c r="D10" s="75" t="str">
        <f>IFERROR(VLOOKUP(A10,Calculations!$D$6:$AI$136,5,FALSE),"")</f>
        <v>B</v>
      </c>
      <c r="E10" s="75" t="str">
        <f>IFERROR(VLOOKUP(A10,Calculations!$D$6:$AI$136,8,FALSE),"")</f>
        <v>PCP</v>
      </c>
      <c r="F10" s="75" t="str">
        <f>IFERROR(VLOOKUP(A10,Calculations!$D$6:$AI$136,9,FALSE),"")</f>
        <v>Frobury</v>
      </c>
      <c r="G10" s="76">
        <f>IFERROR(VLOOKUP(A10,Calculations!$D$6:$AI$136,11,FALSE),"")</f>
        <v>29</v>
      </c>
      <c r="H10" s="76">
        <f>IFERROR(VLOOKUP(A10,Calculations!$D$6:$AI$136,12,FALSE),"")</f>
        <v>17</v>
      </c>
      <c r="I10" s="76">
        <f>IFERROR(VLOOKUP(A10,Calculations!$D$6:$AI$136,13,FALSE),"")</f>
        <v>28</v>
      </c>
      <c r="J10" s="76">
        <f>IFERROR(VLOOKUP(A10,Calculations!$D$6:$AI$136,14,FALSE),"")</f>
        <v>31</v>
      </c>
      <c r="K10" s="76">
        <f>IFERROR(VLOOKUP(A10,Calculations!$D$6:$AI$136,15,FALSE),"")</f>
        <v>31</v>
      </c>
      <c r="L10" s="76">
        <f>IFERROR(VLOOKUP(A10,Calculations!$D$6:$AI$136,16,FALSE),"")</f>
        <v>35</v>
      </c>
      <c r="M10" s="76" t="str">
        <f>IFERROR(VLOOKUP(A10,Calculations!$D$6:$AI$136,17,FALSE),"")</f>
        <v/>
      </c>
      <c r="N10" s="76" t="str">
        <f>IFERROR(VLOOKUP(A10,Calculations!$D$6:$AI$136,18,FALSE),"")</f>
        <v/>
      </c>
      <c r="O10" s="58">
        <f>IFERROR(VLOOKUP(A10,Calculations!$D$6:$AI$136,27,FALSE),"")</f>
        <v>6</v>
      </c>
      <c r="P10" s="125">
        <f>IFERROR(VLOOKUP(A10,Calculations!$D$6:$AI$136,30,FALSE),"")</f>
        <v>171</v>
      </c>
    </row>
    <row r="11" spans="1:17" ht="15" x14ac:dyDescent="0.3">
      <c r="A11" s="36">
        <v>9</v>
      </c>
      <c r="B11" s="35" t="str">
        <f>IFERROR(VLOOKUP(A11,Calculations!$D$6:$AI$136,3,FALSE),"")</f>
        <v>Steve Privett</v>
      </c>
      <c r="C11" s="75">
        <f>IFERROR(VLOOKUP(A11,Calculations!$D$6:$AI$136,4,FALSE),"")</f>
        <v>880</v>
      </c>
      <c r="D11" s="75" t="str">
        <f>IFERROR(VLOOKUP(A11,Calculations!$D$6:$AI$136,5,FALSE),"")</f>
        <v>AA</v>
      </c>
      <c r="E11" s="75" t="str">
        <f>IFERROR(VLOOKUP(A11,Calculations!$D$6:$AI$136,8,FALSE),"")</f>
        <v>PCP</v>
      </c>
      <c r="F11" s="75" t="str">
        <f>IFERROR(VLOOKUP(A11,Calculations!$D$6:$AI$136,9,FALSE),"")</f>
        <v>Buccaneers</v>
      </c>
      <c r="G11" s="76">
        <f>IFERROR(VLOOKUP(A11,Calculations!$D$6:$AI$136,11,FALSE),"")</f>
        <v>36</v>
      </c>
      <c r="H11" s="76">
        <f>IFERROR(VLOOKUP(A11,Calculations!$D$6:$AI$136,12,FALSE),"")</f>
        <v>28</v>
      </c>
      <c r="I11" s="76">
        <f>IFERROR(VLOOKUP(A11,Calculations!$D$6:$AI$136,13,FALSE),"")</f>
        <v>33</v>
      </c>
      <c r="J11" s="76" t="str">
        <f>IFERROR(VLOOKUP(A11,Calculations!$D$6:$AI$136,14,FALSE),"")</f>
        <v/>
      </c>
      <c r="K11" s="76">
        <f>IFERROR(VLOOKUP(A11,Calculations!$D$6:$AI$136,15,FALSE),"")</f>
        <v>34</v>
      </c>
      <c r="L11" s="76">
        <f>IFERROR(VLOOKUP(A11,Calculations!$D$6:$AI$136,16,FALSE),"")</f>
        <v>34</v>
      </c>
      <c r="M11" s="76" t="str">
        <f>IFERROR(VLOOKUP(A11,Calculations!$D$6:$AI$136,17,FALSE),"")</f>
        <v/>
      </c>
      <c r="N11" s="76" t="str">
        <f>IFERROR(VLOOKUP(A11,Calculations!$D$6:$AI$136,18,FALSE),"")</f>
        <v/>
      </c>
      <c r="O11" s="58">
        <f>IFERROR(VLOOKUP(A11,Calculations!$D$6:$AI$136,27,FALSE),"")</f>
        <v>5</v>
      </c>
      <c r="P11" s="125">
        <f>IFERROR(VLOOKUP(A11,Calculations!$D$6:$AI$136,30,FALSE),"")</f>
        <v>165</v>
      </c>
    </row>
    <row r="12" spans="1:17" ht="15" x14ac:dyDescent="0.3">
      <c r="A12" s="36">
        <v>10</v>
      </c>
      <c r="B12" s="35" t="str">
        <f>IFERROR(VLOOKUP(A12,Calculations!$D$6:$AI$136,3,FALSE),"")</f>
        <v>Allan Dyke</v>
      </c>
      <c r="C12" s="75">
        <f>IFERROR(VLOOKUP(A12,Calculations!$D$6:$AI$136,4,FALSE),"")</f>
        <v>1748</v>
      </c>
      <c r="D12" s="75" t="str">
        <f>IFERROR(VLOOKUP(A12,Calculations!$D$6:$AI$136,5,FALSE),"")</f>
        <v>AA</v>
      </c>
      <c r="E12" s="75" t="str">
        <f>IFERROR(VLOOKUP(A12,Calculations!$D$6:$AI$136,8,FALSE),"")</f>
        <v>PCP</v>
      </c>
      <c r="F12" s="75" t="str">
        <f>IFERROR(VLOOKUP(A12,Calculations!$D$6:$AI$136,9,FALSE),"")</f>
        <v>Carisbrooke</v>
      </c>
      <c r="G12" s="76" t="str">
        <f>IFERROR(VLOOKUP(A12,Calculations!$D$6:$AI$136,11,FALSE),"")</f>
        <v/>
      </c>
      <c r="H12" s="76">
        <f>IFERROR(VLOOKUP(A12,Calculations!$D$6:$AI$136,12,FALSE),"")</f>
        <v>28</v>
      </c>
      <c r="I12" s="76">
        <f>IFERROR(VLOOKUP(A12,Calculations!$D$6:$AI$136,13,FALSE),"")</f>
        <v>34</v>
      </c>
      <c r="J12" s="76">
        <f>IFERROR(VLOOKUP(A12,Calculations!$D$6:$AI$136,14,FALSE),"")</f>
        <v>30</v>
      </c>
      <c r="K12" s="76">
        <f>IFERROR(VLOOKUP(A12,Calculations!$D$6:$AI$136,15,FALSE),"")</f>
        <v>35</v>
      </c>
      <c r="L12" s="76">
        <f>IFERROR(VLOOKUP(A12,Calculations!$D$6:$AI$136,16,FALSE),"")</f>
        <v>35</v>
      </c>
      <c r="M12" s="76" t="str">
        <f>IFERROR(VLOOKUP(A12,Calculations!$D$6:$AI$136,17,FALSE),"")</f>
        <v/>
      </c>
      <c r="N12" s="76" t="str">
        <f>IFERROR(VLOOKUP(A12,Calculations!$D$6:$AI$136,18,FALSE),"")</f>
        <v/>
      </c>
      <c r="O12" s="58">
        <f>IFERROR(VLOOKUP(A12,Calculations!$D$6:$AI$136,27,FALSE),"")</f>
        <v>5</v>
      </c>
      <c r="P12" s="125">
        <f>IFERROR(VLOOKUP(A12,Calculations!$D$6:$AI$136,30,FALSE),"")</f>
        <v>162</v>
      </c>
    </row>
    <row r="13" spans="1:17" ht="15" x14ac:dyDescent="0.3">
      <c r="A13" s="36">
        <v>11</v>
      </c>
      <c r="B13" s="35" t="str">
        <f>IFERROR(VLOOKUP(A13,Calculations!$D$6:$AI$136,3,FALSE),"")</f>
        <v>Charlene Summerfield</v>
      </c>
      <c r="C13" s="75">
        <f>IFERROR(VLOOKUP(A13,Calculations!$D$6:$AI$136,4,FALSE),"")</f>
        <v>1914</v>
      </c>
      <c r="D13" s="75" t="str">
        <f>IFERROR(VLOOKUP(A13,Calculations!$D$6:$AI$136,5,FALSE),"")</f>
        <v>B</v>
      </c>
      <c r="E13" s="75" t="str">
        <f>IFERROR(VLOOKUP(A13,Calculations!$D$6:$AI$136,8,FALSE),"")</f>
        <v>PCP</v>
      </c>
      <c r="F13" s="75" t="str">
        <f>IFERROR(VLOOKUP(A13,Calculations!$D$6:$AI$136,9,FALSE),"")</f>
        <v>Carisbrooke</v>
      </c>
      <c r="G13" s="76">
        <f>IFERROR(VLOOKUP(A13,Calculations!$D$6:$AI$136,11,FALSE),"")</f>
        <v>28</v>
      </c>
      <c r="H13" s="76">
        <f>IFERROR(VLOOKUP(A13,Calculations!$D$6:$AI$136,12,FALSE),"")</f>
        <v>18</v>
      </c>
      <c r="I13" s="76">
        <f>IFERROR(VLOOKUP(A13,Calculations!$D$6:$AI$136,13,FALSE),"")</f>
        <v>27</v>
      </c>
      <c r="J13" s="76">
        <f>IFERROR(VLOOKUP(A13,Calculations!$D$6:$AI$136,14,FALSE),"")</f>
        <v>29</v>
      </c>
      <c r="K13" s="76">
        <f>IFERROR(VLOOKUP(A13,Calculations!$D$6:$AI$136,15,FALSE),"")</f>
        <v>31</v>
      </c>
      <c r="L13" s="76">
        <f>IFERROR(VLOOKUP(A13,Calculations!$D$6:$AI$136,16,FALSE),"")</f>
        <v>27</v>
      </c>
      <c r="M13" s="76" t="str">
        <f>IFERROR(VLOOKUP(A13,Calculations!$D$6:$AI$136,17,FALSE),"")</f>
        <v/>
      </c>
      <c r="N13" s="76" t="str">
        <f>IFERROR(VLOOKUP(A13,Calculations!$D$6:$AI$136,18,FALSE),"")</f>
        <v/>
      </c>
      <c r="O13" s="58">
        <f>IFERROR(VLOOKUP(A13,Calculations!$D$6:$AI$136,27,FALSE),"")</f>
        <v>6</v>
      </c>
      <c r="P13" s="125">
        <f>IFERROR(VLOOKUP(A13,Calculations!$D$6:$AI$136,30,FALSE),"")</f>
        <v>160</v>
      </c>
    </row>
    <row r="14" spans="1:17" ht="15" x14ac:dyDescent="0.3">
      <c r="A14" s="36">
        <v>12</v>
      </c>
      <c r="B14" s="35" t="str">
        <f>IFERROR(VLOOKUP(A14,Calculations!$D$6:$AI$136,3,FALSE),"")</f>
        <v>Michael Woodhead</v>
      </c>
      <c r="C14" s="75">
        <f>IFERROR(VLOOKUP(A14,Calculations!$D$6:$AI$136,4,FALSE),"")</f>
        <v>59</v>
      </c>
      <c r="D14" s="75" t="str">
        <f>IFERROR(VLOOKUP(A14,Calculations!$D$6:$AI$136,5,FALSE),"")</f>
        <v>A</v>
      </c>
      <c r="E14" s="75" t="str">
        <f>IFERROR(VLOOKUP(A14,Calculations!$D$6:$AI$136,8,FALSE),"")</f>
        <v>PCP</v>
      </c>
      <c r="F14" s="75" t="str">
        <f>IFERROR(VLOOKUP(A14,Calculations!$D$6:$AI$136,9,FALSE),"")</f>
        <v>Frobury</v>
      </c>
      <c r="G14" s="76">
        <f>IFERROR(VLOOKUP(A14,Calculations!$D$6:$AI$136,11,FALSE),"")</f>
        <v>26</v>
      </c>
      <c r="H14" s="76">
        <f>IFERROR(VLOOKUP(A14,Calculations!$D$6:$AI$136,12,FALSE),"")</f>
        <v>26</v>
      </c>
      <c r="I14" s="76">
        <f>IFERROR(VLOOKUP(A14,Calculations!$D$6:$AI$136,13,FALSE),"")</f>
        <v>27</v>
      </c>
      <c r="J14" s="76">
        <f>IFERROR(VLOOKUP(A14,Calculations!$D$6:$AI$136,14,FALSE),"")</f>
        <v>23</v>
      </c>
      <c r="K14" s="76">
        <f>IFERROR(VLOOKUP(A14,Calculations!$D$6:$AI$136,15,FALSE),"")</f>
        <v>29</v>
      </c>
      <c r="L14" s="76">
        <f>IFERROR(VLOOKUP(A14,Calculations!$D$6:$AI$136,16,FALSE),"")</f>
        <v>25</v>
      </c>
      <c r="M14" s="76" t="str">
        <f>IFERROR(VLOOKUP(A14,Calculations!$D$6:$AI$136,17,FALSE),"")</f>
        <v/>
      </c>
      <c r="N14" s="76" t="str">
        <f>IFERROR(VLOOKUP(A14,Calculations!$D$6:$AI$136,18,FALSE),"")</f>
        <v/>
      </c>
      <c r="O14" s="58">
        <f>IFERROR(VLOOKUP(A14,Calculations!$D$6:$AI$136,27,FALSE),"")</f>
        <v>6</v>
      </c>
      <c r="P14" s="125">
        <f>IFERROR(VLOOKUP(A14,Calculations!$D$6:$AI$136,30,FALSE),"")</f>
        <v>156</v>
      </c>
    </row>
    <row r="15" spans="1:17" ht="15" x14ac:dyDescent="0.3">
      <c r="A15" s="36">
        <v>13</v>
      </c>
      <c r="B15" s="35" t="str">
        <f>IFERROR(VLOOKUP(A15,Calculations!$D$6:$AI$136,3,FALSE),"")</f>
        <v>Andy Baxter</v>
      </c>
      <c r="C15" s="75">
        <f>IFERROR(VLOOKUP(A15,Calculations!$D$6:$AI$136,4,FALSE),"")</f>
        <v>1916</v>
      </c>
      <c r="D15" s="75" t="str">
        <f>IFERROR(VLOOKUP(A15,Calculations!$D$6:$AI$136,5,FALSE),"")</f>
        <v>A</v>
      </c>
      <c r="E15" s="75" t="str">
        <f>IFERROR(VLOOKUP(A15,Calculations!$D$6:$AI$136,8,FALSE),"")</f>
        <v>PCP</v>
      </c>
      <c r="F15" s="75" t="str">
        <f>IFERROR(VLOOKUP(A15,Calculations!$D$6:$AI$136,9,FALSE),"")</f>
        <v>Carisbrooke</v>
      </c>
      <c r="G15" s="76">
        <f>IFERROR(VLOOKUP(A15,Calculations!$D$6:$AI$136,11,FALSE),"")</f>
        <v>27</v>
      </c>
      <c r="H15" s="76">
        <f>IFERROR(VLOOKUP(A15,Calculations!$D$6:$AI$136,12,FALSE),"")</f>
        <v>26</v>
      </c>
      <c r="I15" s="76">
        <f>IFERROR(VLOOKUP(A15,Calculations!$D$6:$AI$136,13,FALSE),"")</f>
        <v>27</v>
      </c>
      <c r="J15" s="76">
        <f>IFERROR(VLOOKUP(A15,Calculations!$D$6:$AI$136,14,FALSE),"")</f>
        <v>23</v>
      </c>
      <c r="K15" s="76">
        <f>IFERROR(VLOOKUP(A15,Calculations!$D$6:$AI$136,15,FALSE),"")</f>
        <v>21</v>
      </c>
      <c r="L15" s="76">
        <f>IFERROR(VLOOKUP(A15,Calculations!$D$6:$AI$136,16,FALSE),"")</f>
        <v>28</v>
      </c>
      <c r="M15" s="76" t="str">
        <f>IFERROR(VLOOKUP(A15,Calculations!$D$6:$AI$136,17,FALSE),"")</f>
        <v/>
      </c>
      <c r="N15" s="76" t="str">
        <f>IFERROR(VLOOKUP(A15,Calculations!$D$6:$AI$136,18,FALSE),"")</f>
        <v/>
      </c>
      <c r="O15" s="58">
        <f>IFERROR(VLOOKUP(A15,Calculations!$D$6:$AI$136,27,FALSE),"")</f>
        <v>6</v>
      </c>
      <c r="P15" s="125">
        <f>IFERROR(VLOOKUP(A15,Calculations!$D$6:$AI$136,30,FALSE),"")</f>
        <v>152</v>
      </c>
    </row>
    <row r="16" spans="1:17" ht="15" x14ac:dyDescent="0.3">
      <c r="A16" s="36">
        <v>14</v>
      </c>
      <c r="B16" s="35" t="str">
        <f>IFERROR(VLOOKUP(A16,Calculations!$D$6:$AI$136,3,FALSE),"")</f>
        <v>Neil Mason</v>
      </c>
      <c r="C16" s="75">
        <f>IFERROR(VLOOKUP(A16,Calculations!$D$6:$AI$136,4,FALSE),"")</f>
        <v>1885</v>
      </c>
      <c r="D16" s="75" t="str">
        <f>IFERROR(VLOOKUP(A16,Calculations!$D$6:$AI$136,5,FALSE),"")</f>
        <v>B</v>
      </c>
      <c r="E16" s="75" t="str">
        <f>IFERROR(VLOOKUP(A16,Calculations!$D$6:$AI$136,8,FALSE),"")</f>
        <v>PCP</v>
      </c>
      <c r="F16" s="75" t="str">
        <f>IFERROR(VLOOKUP(A16,Calculations!$D$6:$AI$136,9,FALSE),"")</f>
        <v>Buccaneers</v>
      </c>
      <c r="G16" s="76">
        <f>IFERROR(VLOOKUP(A16,Calculations!$D$6:$AI$136,11,FALSE),"")</f>
        <v>30</v>
      </c>
      <c r="H16" s="76">
        <f>IFERROR(VLOOKUP(A16,Calculations!$D$6:$AI$136,12,FALSE),"")</f>
        <v>22</v>
      </c>
      <c r="I16" s="76">
        <f>IFERROR(VLOOKUP(A16,Calculations!$D$6:$AI$136,13,FALSE),"")</f>
        <v>29</v>
      </c>
      <c r="J16" s="76">
        <f>IFERROR(VLOOKUP(A16,Calculations!$D$6:$AI$136,14,FALSE),"")</f>
        <v>26</v>
      </c>
      <c r="K16" s="76">
        <f>IFERROR(VLOOKUP(A16,Calculations!$D$6:$AI$136,15,FALSE),"")</f>
        <v>22</v>
      </c>
      <c r="L16" s="76">
        <f>IFERROR(VLOOKUP(A16,Calculations!$D$6:$AI$136,16,FALSE),"")</f>
        <v>20</v>
      </c>
      <c r="M16" s="76" t="str">
        <f>IFERROR(VLOOKUP(A16,Calculations!$D$6:$AI$136,17,FALSE),"")</f>
        <v/>
      </c>
      <c r="N16" s="76" t="str">
        <f>IFERROR(VLOOKUP(A16,Calculations!$D$6:$AI$136,18,FALSE),"")</f>
        <v/>
      </c>
      <c r="O16" s="58">
        <f>IFERROR(VLOOKUP(A16,Calculations!$D$6:$AI$136,27,FALSE),"")</f>
        <v>6</v>
      </c>
      <c r="P16" s="125">
        <f>IFERROR(VLOOKUP(A16,Calculations!$D$6:$AI$136,30,FALSE),"")</f>
        <v>149</v>
      </c>
    </row>
    <row r="17" spans="1:16" ht="15" x14ac:dyDescent="0.3">
      <c r="A17" s="36">
        <v>15</v>
      </c>
      <c r="B17" s="35" t="str">
        <f>IFERROR(VLOOKUP(A17,Calculations!$D$6:$AI$136,3,FALSE),"")</f>
        <v>Trevor Turner</v>
      </c>
      <c r="C17" s="75">
        <f>IFERROR(VLOOKUP(A17,Calculations!$D$6:$AI$136,4,FALSE),"")</f>
        <v>1918</v>
      </c>
      <c r="D17" s="75" t="str">
        <f>IFERROR(VLOOKUP(A17,Calculations!$D$6:$AI$136,5,FALSE),"")</f>
        <v>B</v>
      </c>
      <c r="E17" s="75" t="str">
        <f>IFERROR(VLOOKUP(A17,Calculations!$D$6:$AI$136,8,FALSE),"")</f>
        <v>PCP</v>
      </c>
      <c r="F17" s="75" t="str">
        <f>IFERROR(VLOOKUP(A17,Calculations!$D$6:$AI$136,9,FALSE),"")</f>
        <v>Carisbrooke</v>
      </c>
      <c r="G17" s="76" t="str">
        <f>IFERROR(VLOOKUP(A17,Calculations!$D$6:$AI$136,11,FALSE),"")</f>
        <v/>
      </c>
      <c r="H17" s="76">
        <f>IFERROR(VLOOKUP(A17,Calculations!$D$6:$AI$136,12,FALSE),"")</f>
        <v>25</v>
      </c>
      <c r="I17" s="76">
        <f>IFERROR(VLOOKUP(A17,Calculations!$D$6:$AI$136,13,FALSE),"")</f>
        <v>29</v>
      </c>
      <c r="J17" s="76">
        <f>IFERROR(VLOOKUP(A17,Calculations!$D$6:$AI$136,14,FALSE),"")</f>
        <v>26</v>
      </c>
      <c r="K17" s="76">
        <f>IFERROR(VLOOKUP(A17,Calculations!$D$6:$AI$136,15,FALSE),"")</f>
        <v>34</v>
      </c>
      <c r="L17" s="76">
        <f>IFERROR(VLOOKUP(A17,Calculations!$D$6:$AI$136,16,FALSE),"")</f>
        <v>29</v>
      </c>
      <c r="M17" s="76" t="str">
        <f>IFERROR(VLOOKUP(A17,Calculations!$D$6:$AI$136,17,FALSE),"")</f>
        <v/>
      </c>
      <c r="N17" s="76" t="str">
        <f>IFERROR(VLOOKUP(A17,Calculations!$D$6:$AI$136,18,FALSE),"")</f>
        <v/>
      </c>
      <c r="O17" s="58">
        <f>IFERROR(VLOOKUP(A17,Calculations!$D$6:$AI$136,27,FALSE),"")</f>
        <v>5</v>
      </c>
      <c r="P17" s="125">
        <f>IFERROR(VLOOKUP(A17,Calculations!$D$6:$AI$136,30,FALSE),"")</f>
        <v>143</v>
      </c>
    </row>
    <row r="18" spans="1:16" ht="15" x14ac:dyDescent="0.3">
      <c r="A18" s="36">
        <v>16</v>
      </c>
      <c r="B18" s="35" t="str">
        <f>IFERROR(VLOOKUP(A18,Calculations!$D$6:$AI$136,3,FALSE),"")</f>
        <v>Nigel Mason</v>
      </c>
      <c r="C18" s="75">
        <f>IFERROR(VLOOKUP(A18,Calculations!$D$6:$AI$136,4,FALSE),"")</f>
        <v>1886</v>
      </c>
      <c r="D18" s="75" t="str">
        <f>IFERROR(VLOOKUP(A18,Calculations!$D$6:$AI$136,5,FALSE),"")</f>
        <v>C</v>
      </c>
      <c r="E18" s="75" t="str">
        <f>IFERROR(VLOOKUP(A18,Calculations!$D$6:$AI$136,8,FALSE),"")</f>
        <v>PCP</v>
      </c>
      <c r="F18" s="75" t="str">
        <f>IFERROR(VLOOKUP(A18,Calculations!$D$6:$AI$136,9,FALSE),"")</f>
        <v>Meon</v>
      </c>
      <c r="G18" s="76">
        <f>IFERROR(VLOOKUP(A18,Calculations!$D$6:$AI$136,11,FALSE),"")</f>
        <v>23</v>
      </c>
      <c r="H18" s="76">
        <f>IFERROR(VLOOKUP(A18,Calculations!$D$6:$AI$136,12,FALSE),"")</f>
        <v>17</v>
      </c>
      <c r="I18" s="76">
        <f>IFERROR(VLOOKUP(A18,Calculations!$D$6:$AI$136,13,FALSE),"")</f>
        <v>23</v>
      </c>
      <c r="J18" s="76">
        <f>IFERROR(VLOOKUP(A18,Calculations!$D$6:$AI$136,14,FALSE),"")</f>
        <v>23</v>
      </c>
      <c r="K18" s="76">
        <f>IFERROR(VLOOKUP(A18,Calculations!$D$6:$AI$136,15,FALSE),"")</f>
        <v>27</v>
      </c>
      <c r="L18" s="76">
        <f>IFERROR(VLOOKUP(A18,Calculations!$D$6:$AI$136,16,FALSE),"")</f>
        <v>25</v>
      </c>
      <c r="M18" s="76" t="str">
        <f>IFERROR(VLOOKUP(A18,Calculations!$D$6:$AI$136,17,FALSE),"")</f>
        <v/>
      </c>
      <c r="N18" s="76" t="str">
        <f>IFERROR(VLOOKUP(A18,Calculations!$D$6:$AI$136,18,FALSE),"")</f>
        <v/>
      </c>
      <c r="O18" s="58">
        <f>IFERROR(VLOOKUP(A18,Calculations!$D$6:$AI$136,27,FALSE),"")</f>
        <v>6</v>
      </c>
      <c r="P18" s="125">
        <f>IFERROR(VLOOKUP(A18,Calculations!$D$6:$AI$136,30,FALSE),"")</f>
        <v>138</v>
      </c>
    </row>
    <row r="19" spans="1:16" ht="15" x14ac:dyDescent="0.3">
      <c r="A19" s="36">
        <v>17</v>
      </c>
      <c r="B19" s="35" t="str">
        <f>IFERROR(VLOOKUP(A19,Calculations!$D$6:$AI$136,3,FALSE),"")</f>
        <v>Robyn Eames</v>
      </c>
      <c r="C19" s="75">
        <f>IFERROR(VLOOKUP(A19,Calculations!$D$6:$AI$136,4,FALSE),"")</f>
        <v>1883</v>
      </c>
      <c r="D19" s="75" t="str">
        <f>IFERROR(VLOOKUP(A19,Calculations!$D$6:$AI$136,5,FALSE),"")</f>
        <v>C</v>
      </c>
      <c r="E19" s="75" t="str">
        <f>IFERROR(VLOOKUP(A19,Calculations!$D$6:$AI$136,8,FALSE),"")</f>
        <v>PCP</v>
      </c>
      <c r="F19" s="75" t="str">
        <f>IFERROR(VLOOKUP(A19,Calculations!$D$6:$AI$136,9,FALSE),"")</f>
        <v>Carisbrooke</v>
      </c>
      <c r="G19" s="76">
        <f>IFERROR(VLOOKUP(A19,Calculations!$D$6:$AI$136,11,FALSE),"")</f>
        <v>21</v>
      </c>
      <c r="H19" s="76">
        <f>IFERROR(VLOOKUP(A19,Calculations!$D$6:$AI$136,12,FALSE),"")</f>
        <v>20</v>
      </c>
      <c r="I19" s="76">
        <f>IFERROR(VLOOKUP(A19,Calculations!$D$6:$AI$136,13,FALSE),"")</f>
        <v>27</v>
      </c>
      <c r="J19" s="76">
        <f>IFERROR(VLOOKUP(A19,Calculations!$D$6:$AI$136,14,FALSE),"")</f>
        <v>22</v>
      </c>
      <c r="K19" s="76">
        <f>IFERROR(VLOOKUP(A19,Calculations!$D$6:$AI$136,15,FALSE),"")</f>
        <v>23</v>
      </c>
      <c r="L19" s="76">
        <f>IFERROR(VLOOKUP(A19,Calculations!$D$6:$AI$136,16,FALSE),"")</f>
        <v>23</v>
      </c>
      <c r="M19" s="76" t="str">
        <f>IFERROR(VLOOKUP(A19,Calculations!$D$6:$AI$136,17,FALSE),"")</f>
        <v/>
      </c>
      <c r="N19" s="76" t="str">
        <f>IFERROR(VLOOKUP(A19,Calculations!$D$6:$AI$136,18,FALSE),"")</f>
        <v/>
      </c>
      <c r="O19" s="58">
        <f>IFERROR(VLOOKUP(A19,Calculations!$D$6:$AI$136,27,FALSE),"")</f>
        <v>6</v>
      </c>
      <c r="P19" s="125">
        <f>IFERROR(VLOOKUP(A19,Calculations!$D$6:$AI$136,30,FALSE),"")</f>
        <v>136</v>
      </c>
    </row>
    <row r="20" spans="1:16" ht="15" x14ac:dyDescent="0.3">
      <c r="A20" s="36">
        <v>18</v>
      </c>
      <c r="B20" s="35" t="str">
        <f>IFERROR(VLOOKUP(A20,Calculations!$D$6:$AI$136,3,FALSE),"")</f>
        <v>David Hollingdale</v>
      </c>
      <c r="C20" s="75">
        <f>IFERROR(VLOOKUP(A20,Calculations!$D$6:$AI$136,4,FALSE),"")</f>
        <v>1515</v>
      </c>
      <c r="D20" s="75" t="str">
        <f>IFERROR(VLOOKUP(A20,Calculations!$D$6:$AI$136,5,FALSE),"")</f>
        <v>O</v>
      </c>
      <c r="E20" s="75" t="str">
        <f>IFERROR(VLOOKUP(A20,Calculations!$D$6:$AI$136,8,FALSE),"")</f>
        <v>Open</v>
      </c>
      <c r="F20" s="75" t="str">
        <f>IFERROR(VLOOKUP(A20,Calculations!$D$6:$AI$136,9,FALSE),"")</f>
        <v>Carisbrooke</v>
      </c>
      <c r="G20" s="76">
        <f>IFERROR(VLOOKUP(A20,Calculations!$D$6:$AI$136,11,FALSE),"")</f>
        <v>28</v>
      </c>
      <c r="H20" s="76">
        <f>IFERROR(VLOOKUP(A20,Calculations!$D$6:$AI$136,12,FALSE),"")</f>
        <v>18</v>
      </c>
      <c r="I20" s="76">
        <f>IFERROR(VLOOKUP(A20,Calculations!$D$6:$AI$136,13,FALSE),"")</f>
        <v>30</v>
      </c>
      <c r="J20" s="76" t="str">
        <f>IFERROR(VLOOKUP(A20,Calculations!$D$6:$AI$136,14,FALSE),"")</f>
        <v/>
      </c>
      <c r="K20" s="76">
        <f>IFERROR(VLOOKUP(A20,Calculations!$D$6:$AI$136,15,FALSE),"")</f>
        <v>28</v>
      </c>
      <c r="L20" s="76">
        <f>IFERROR(VLOOKUP(A20,Calculations!$D$6:$AI$136,16,FALSE),"")</f>
        <v>28</v>
      </c>
      <c r="M20" s="76" t="str">
        <f>IFERROR(VLOOKUP(A20,Calculations!$D$6:$AI$136,17,FALSE),"")</f>
        <v/>
      </c>
      <c r="N20" s="76" t="str">
        <f>IFERROR(VLOOKUP(A20,Calculations!$D$6:$AI$136,18,FALSE),"")</f>
        <v/>
      </c>
      <c r="O20" s="58">
        <f>IFERROR(VLOOKUP(A20,Calculations!$D$6:$AI$136,27,FALSE),"")</f>
        <v>5</v>
      </c>
      <c r="P20" s="125">
        <f>IFERROR(VLOOKUP(A20,Calculations!$D$6:$AI$136,30,FALSE),"")</f>
        <v>132</v>
      </c>
    </row>
    <row r="21" spans="1:16" ht="15" x14ac:dyDescent="0.3">
      <c r="A21" s="36">
        <v>19</v>
      </c>
      <c r="B21" s="35" t="str">
        <f>IFERROR(VLOOKUP(A21,Calculations!$D$6:$AI$136,3,FALSE),"")</f>
        <v>Geoff Ames</v>
      </c>
      <c r="C21" s="75">
        <f>IFERROR(VLOOKUP(A21,Calculations!$D$6:$AI$136,4,FALSE),"")</f>
        <v>1301</v>
      </c>
      <c r="D21" s="75" t="str">
        <f>IFERROR(VLOOKUP(A21,Calculations!$D$6:$AI$136,5,FALSE),"")</f>
        <v>B</v>
      </c>
      <c r="E21" s="75" t="str">
        <f>IFERROR(VLOOKUP(A21,Calculations!$D$6:$AI$136,8,FALSE),"")</f>
        <v>PCP</v>
      </c>
      <c r="F21" s="75" t="str">
        <f>IFERROR(VLOOKUP(A21,Calculations!$D$6:$AI$136,9,FALSE),"")</f>
        <v>Buccaneers</v>
      </c>
      <c r="G21" s="76" t="str">
        <f>IFERROR(VLOOKUP(A21,Calculations!$D$6:$AI$136,11,FALSE),"")</f>
        <v/>
      </c>
      <c r="H21" s="76">
        <f>IFERROR(VLOOKUP(A21,Calculations!$D$6:$AI$136,12,FALSE),"")</f>
        <v>25</v>
      </c>
      <c r="I21" s="76">
        <f>IFERROR(VLOOKUP(A21,Calculations!$D$6:$AI$136,13,FALSE),"")</f>
        <v>22</v>
      </c>
      <c r="J21" s="76">
        <f>IFERROR(VLOOKUP(A21,Calculations!$D$6:$AI$136,14,FALSE),"")</f>
        <v>28</v>
      </c>
      <c r="K21" s="76">
        <f>IFERROR(VLOOKUP(A21,Calculations!$D$6:$AI$136,15,FALSE),"")</f>
        <v>27</v>
      </c>
      <c r="L21" s="76">
        <f>IFERROR(VLOOKUP(A21,Calculations!$D$6:$AI$136,16,FALSE),"")</f>
        <v>29</v>
      </c>
      <c r="M21" s="76" t="str">
        <f>IFERROR(VLOOKUP(A21,Calculations!$D$6:$AI$136,17,FALSE),"")</f>
        <v/>
      </c>
      <c r="N21" s="76" t="str">
        <f>IFERROR(VLOOKUP(A21,Calculations!$D$6:$AI$136,18,FALSE),"")</f>
        <v/>
      </c>
      <c r="O21" s="58">
        <f>IFERROR(VLOOKUP(A21,Calculations!$D$6:$AI$136,27,FALSE),"")</f>
        <v>5</v>
      </c>
      <c r="P21" s="125">
        <f>IFERROR(VLOOKUP(A21,Calculations!$D$6:$AI$136,30,FALSE),"")</f>
        <v>131</v>
      </c>
    </row>
    <row r="22" spans="1:16" ht="15" x14ac:dyDescent="0.3">
      <c r="A22" s="36">
        <v>20</v>
      </c>
      <c r="B22" s="35" t="str">
        <f>IFERROR(VLOOKUP(A22,Calculations!$D$6:$AI$136,3,FALSE),"")</f>
        <v>Glenda Privett</v>
      </c>
      <c r="C22" s="75">
        <f>IFERROR(VLOOKUP(A22,Calculations!$D$6:$AI$136,4,FALSE),"")</f>
        <v>1431</v>
      </c>
      <c r="D22" s="75" t="str">
        <f>IFERROR(VLOOKUP(A22,Calculations!$D$6:$AI$136,5,FALSE),"")</f>
        <v>C</v>
      </c>
      <c r="E22" s="75" t="str">
        <f>IFERROR(VLOOKUP(A22,Calculations!$D$6:$AI$136,8,FALSE),"")</f>
        <v>PCP</v>
      </c>
      <c r="F22" s="75" t="str">
        <f>IFERROR(VLOOKUP(A22,Calculations!$D$6:$AI$136,9,FALSE),"")</f>
        <v>Buccaneers</v>
      </c>
      <c r="G22" s="76">
        <f>IFERROR(VLOOKUP(A22,Calculations!$D$6:$AI$136,11,FALSE),"")</f>
        <v>32</v>
      </c>
      <c r="H22" s="76">
        <f>IFERROR(VLOOKUP(A22,Calculations!$D$6:$AI$136,12,FALSE),"")</f>
        <v>20</v>
      </c>
      <c r="I22" s="76">
        <f>IFERROR(VLOOKUP(A22,Calculations!$D$6:$AI$136,13,FALSE),"")</f>
        <v>28</v>
      </c>
      <c r="J22" s="76" t="str">
        <f>IFERROR(VLOOKUP(A22,Calculations!$D$6:$AI$136,14,FALSE),"")</f>
        <v/>
      </c>
      <c r="K22" s="76">
        <f>IFERROR(VLOOKUP(A22,Calculations!$D$6:$AI$136,15,FALSE),"")</f>
        <v>22</v>
      </c>
      <c r="L22" s="76">
        <f>IFERROR(VLOOKUP(A22,Calculations!$D$6:$AI$136,16,FALSE),"")</f>
        <v>27</v>
      </c>
      <c r="M22" s="76" t="str">
        <f>IFERROR(VLOOKUP(A22,Calculations!$D$6:$AI$136,17,FALSE),"")</f>
        <v/>
      </c>
      <c r="N22" s="76" t="str">
        <f>IFERROR(VLOOKUP(A22,Calculations!$D$6:$AI$136,18,FALSE),"")</f>
        <v/>
      </c>
      <c r="O22" s="58">
        <f>IFERROR(VLOOKUP(A22,Calculations!$D$6:$AI$136,27,FALSE),"")</f>
        <v>5</v>
      </c>
      <c r="P22" s="125">
        <f>IFERROR(VLOOKUP(A22,Calculations!$D$6:$AI$136,30,FALSE),"")</f>
        <v>129</v>
      </c>
    </row>
    <row r="23" spans="1:16" ht="15" x14ac:dyDescent="0.3">
      <c r="A23" s="36">
        <v>21</v>
      </c>
      <c r="B23" s="35" t="str">
        <f>IFERROR(VLOOKUP(A23,Calculations!$D$6:$AI$136,3,FALSE),"")</f>
        <v>Andrew Slade</v>
      </c>
      <c r="C23" s="75">
        <f>IFERROR(VLOOKUP(A23,Calculations!$D$6:$AI$136,4,FALSE),"")</f>
        <v>402</v>
      </c>
      <c r="D23" s="75" t="str">
        <f>IFERROR(VLOOKUP(A23,Calculations!$D$6:$AI$136,5,FALSE),"")</f>
        <v>B</v>
      </c>
      <c r="E23" s="75" t="str">
        <f>IFERROR(VLOOKUP(A23,Calculations!$D$6:$AI$136,8,FALSE),"")</f>
        <v>PCP</v>
      </c>
      <c r="F23" s="75" t="str">
        <f>IFERROR(VLOOKUP(A23,Calculations!$D$6:$AI$136,9,FALSE),"")</f>
        <v>Newbury</v>
      </c>
      <c r="G23" s="76">
        <f>IFERROR(VLOOKUP(A23,Calculations!$D$6:$AI$136,11,FALSE),"")</f>
        <v>27</v>
      </c>
      <c r="H23" s="76">
        <f>IFERROR(VLOOKUP(A23,Calculations!$D$6:$AI$136,12,FALSE),"")</f>
        <v>17</v>
      </c>
      <c r="I23" s="76">
        <f>IFERROR(VLOOKUP(A23,Calculations!$D$6:$AI$136,13,FALSE),"")</f>
        <v>23</v>
      </c>
      <c r="J23" s="76">
        <f>IFERROR(VLOOKUP(A23,Calculations!$D$6:$AI$136,14,FALSE),"")</f>
        <v>19</v>
      </c>
      <c r="K23" s="76">
        <f>IFERROR(VLOOKUP(A23,Calculations!$D$6:$AI$136,15,FALSE),"")</f>
        <v>18</v>
      </c>
      <c r="L23" s="76">
        <f>IFERROR(VLOOKUP(A23,Calculations!$D$6:$AI$136,16,FALSE),"")</f>
        <v>23</v>
      </c>
      <c r="M23" s="76" t="str">
        <f>IFERROR(VLOOKUP(A23,Calculations!$D$6:$AI$136,17,FALSE),"")</f>
        <v/>
      </c>
      <c r="N23" s="76" t="str">
        <f>IFERROR(VLOOKUP(A23,Calculations!$D$6:$AI$136,18,FALSE),"")</f>
        <v/>
      </c>
      <c r="O23" s="58">
        <f>IFERROR(VLOOKUP(A23,Calculations!$D$6:$AI$136,27,FALSE),"")</f>
        <v>6</v>
      </c>
      <c r="P23" s="125">
        <f>IFERROR(VLOOKUP(A23,Calculations!$D$6:$AI$136,30,FALSE),"")</f>
        <v>127</v>
      </c>
    </row>
    <row r="24" spans="1:16" ht="15" x14ac:dyDescent="0.3">
      <c r="A24" s="36">
        <v>22</v>
      </c>
      <c r="B24" s="35" t="str">
        <f>IFERROR(VLOOKUP(A24,Calculations!$D$6:$AI$136,3,FALSE),"")</f>
        <v>Richard Green</v>
      </c>
      <c r="C24" s="75">
        <f>IFERROR(VLOOKUP(A24,Calculations!$D$6:$AI$136,4,FALSE),"")</f>
        <v>94</v>
      </c>
      <c r="D24" s="75" t="str">
        <f>IFERROR(VLOOKUP(A24,Calculations!$D$6:$AI$136,5,FALSE),"")</f>
        <v>AA</v>
      </c>
      <c r="E24" s="75" t="str">
        <f>IFERROR(VLOOKUP(A24,Calculations!$D$6:$AI$136,8,FALSE),"")</f>
        <v>PCP</v>
      </c>
      <c r="F24" s="75" t="str">
        <f>IFERROR(VLOOKUP(A24,Calculations!$D$6:$AI$136,9,FALSE),"")</f>
        <v>Carisbrooke</v>
      </c>
      <c r="G24" s="76">
        <f>IFERROR(VLOOKUP(A24,Calculations!$D$6:$AI$136,11,FALSE),"")</f>
        <v>32</v>
      </c>
      <c r="H24" s="76">
        <f>IFERROR(VLOOKUP(A24,Calculations!$D$6:$AI$136,12,FALSE),"")</f>
        <v>27</v>
      </c>
      <c r="I24" s="76" t="str">
        <f>IFERROR(VLOOKUP(A24,Calculations!$D$6:$AI$136,13,FALSE),"")</f>
        <v/>
      </c>
      <c r="J24" s="76" t="str">
        <f>IFERROR(VLOOKUP(A24,Calculations!$D$6:$AI$136,14,FALSE),"")</f>
        <v/>
      </c>
      <c r="K24" s="76">
        <f>IFERROR(VLOOKUP(A24,Calculations!$D$6:$AI$136,15,FALSE),"")</f>
        <v>32</v>
      </c>
      <c r="L24" s="76">
        <f>IFERROR(VLOOKUP(A24,Calculations!$D$6:$AI$136,16,FALSE),"")</f>
        <v>35</v>
      </c>
      <c r="M24" s="76" t="str">
        <f>IFERROR(VLOOKUP(A24,Calculations!$D$6:$AI$136,17,FALSE),"")</f>
        <v/>
      </c>
      <c r="N24" s="76" t="str">
        <f>IFERROR(VLOOKUP(A24,Calculations!$D$6:$AI$136,18,FALSE),"")</f>
        <v/>
      </c>
      <c r="O24" s="58">
        <f>IFERROR(VLOOKUP(A24,Calculations!$D$6:$AI$136,27,FALSE),"")</f>
        <v>4</v>
      </c>
      <c r="P24" s="125">
        <f>IFERROR(VLOOKUP(A24,Calculations!$D$6:$AI$136,30,FALSE),"")</f>
        <v>126</v>
      </c>
    </row>
    <row r="25" spans="1:16" ht="15" x14ac:dyDescent="0.3">
      <c r="A25" s="36">
        <v>23</v>
      </c>
      <c r="B25" s="35" t="str">
        <f>IFERROR(VLOOKUP(A25,Calculations!$D$6:$AI$136,3,FALSE),"")</f>
        <v>Geoff Hawes</v>
      </c>
      <c r="C25" s="75">
        <f>IFERROR(VLOOKUP(A25,Calculations!$D$6:$AI$136,4,FALSE),"")</f>
        <v>448</v>
      </c>
      <c r="D25" s="75" t="str">
        <f>IFERROR(VLOOKUP(A25,Calculations!$D$6:$AI$136,5,FALSE),"")</f>
        <v>O</v>
      </c>
      <c r="E25" s="75" t="str">
        <f>IFERROR(VLOOKUP(A25,Calculations!$D$6:$AI$136,8,FALSE),"")</f>
        <v>Open</v>
      </c>
      <c r="F25" s="75" t="str">
        <f>IFERROR(VLOOKUP(A25,Calculations!$D$6:$AI$136,9,FALSE),"")</f>
        <v>Newbury</v>
      </c>
      <c r="G25" s="76">
        <f>IFERROR(VLOOKUP(A25,Calculations!$D$6:$AI$136,11,FALSE),"")</f>
        <v>23</v>
      </c>
      <c r="H25" s="76" t="str">
        <f>IFERROR(VLOOKUP(A25,Calculations!$D$6:$AI$136,12,FALSE),"")</f>
        <v/>
      </c>
      <c r="I25" s="76">
        <f>IFERROR(VLOOKUP(A25,Calculations!$D$6:$AI$136,13,FALSE),"")</f>
        <v>25</v>
      </c>
      <c r="J25" s="76">
        <f>IFERROR(VLOOKUP(A25,Calculations!$D$6:$AI$136,14,FALSE),"")</f>
        <v>27</v>
      </c>
      <c r="K25" s="76">
        <f>IFERROR(VLOOKUP(A25,Calculations!$D$6:$AI$136,15,FALSE),"")</f>
        <v>27</v>
      </c>
      <c r="L25" s="76">
        <f>IFERROR(VLOOKUP(A25,Calculations!$D$6:$AI$136,16,FALSE),"")</f>
        <v>24</v>
      </c>
      <c r="M25" s="76" t="str">
        <f>IFERROR(VLOOKUP(A25,Calculations!$D$6:$AI$136,17,FALSE),"")</f>
        <v/>
      </c>
      <c r="N25" s="76" t="str">
        <f>IFERROR(VLOOKUP(A25,Calculations!$D$6:$AI$136,18,FALSE),"")</f>
        <v/>
      </c>
      <c r="O25" s="58">
        <f>IFERROR(VLOOKUP(A25,Calculations!$D$6:$AI$136,27,FALSE),"")</f>
        <v>5</v>
      </c>
      <c r="P25" s="125">
        <f>IFERROR(VLOOKUP(A25,Calculations!$D$6:$AI$136,30,FALSE),"")</f>
        <v>126</v>
      </c>
    </row>
    <row r="26" spans="1:16" ht="15" x14ac:dyDescent="0.3">
      <c r="A26" s="36">
        <v>24</v>
      </c>
      <c r="B26" s="35" t="str">
        <f>IFERROR(VLOOKUP(A26,Calculations!$D$6:$AI$136,3,FALSE),"")</f>
        <v>John Watson</v>
      </c>
      <c r="C26" s="75">
        <f>IFERROR(VLOOKUP(A26,Calculations!$D$6:$AI$136,4,FALSE),"")</f>
        <v>1559</v>
      </c>
      <c r="D26" s="75" t="str">
        <f>IFERROR(VLOOKUP(A26,Calculations!$D$6:$AI$136,5,FALSE),"")</f>
        <v>O</v>
      </c>
      <c r="E26" s="75" t="str">
        <f>IFERROR(VLOOKUP(A26,Calculations!$D$6:$AI$136,8,FALSE),"")</f>
        <v>Open</v>
      </c>
      <c r="F26" s="75" t="str">
        <f>IFERROR(VLOOKUP(A26,Calculations!$D$6:$AI$136,9,FALSE),"")</f>
        <v>Newbury</v>
      </c>
      <c r="G26" s="76">
        <f>IFERROR(VLOOKUP(A26,Calculations!$D$6:$AI$136,11,FALSE),"")</f>
        <v>25</v>
      </c>
      <c r="H26" s="76" t="str">
        <f>IFERROR(VLOOKUP(A26,Calculations!$D$6:$AI$136,12,FALSE),"")</f>
        <v/>
      </c>
      <c r="I26" s="76">
        <f>IFERROR(VLOOKUP(A26,Calculations!$D$6:$AI$136,13,FALSE),"")</f>
        <v>23</v>
      </c>
      <c r="J26" s="76">
        <f>IFERROR(VLOOKUP(A26,Calculations!$D$6:$AI$136,14,FALSE),"")</f>
        <v>20</v>
      </c>
      <c r="K26" s="76">
        <f>IFERROR(VLOOKUP(A26,Calculations!$D$6:$AI$136,15,FALSE),"")</f>
        <v>27</v>
      </c>
      <c r="L26" s="76">
        <f>IFERROR(VLOOKUP(A26,Calculations!$D$6:$AI$136,16,FALSE),"")</f>
        <v>20</v>
      </c>
      <c r="M26" s="76" t="str">
        <f>IFERROR(VLOOKUP(A26,Calculations!$D$6:$AI$136,17,FALSE),"")</f>
        <v/>
      </c>
      <c r="N26" s="76" t="str">
        <f>IFERROR(VLOOKUP(A26,Calculations!$D$6:$AI$136,18,FALSE),"")</f>
        <v/>
      </c>
      <c r="O26" s="58">
        <f>IFERROR(VLOOKUP(A26,Calculations!$D$6:$AI$136,27,FALSE),"")</f>
        <v>5</v>
      </c>
      <c r="P26" s="125">
        <f>IFERROR(VLOOKUP(A26,Calculations!$D$6:$AI$136,30,FALSE),"")</f>
        <v>115</v>
      </c>
    </row>
    <row r="27" spans="1:16" ht="15" x14ac:dyDescent="0.3">
      <c r="A27" s="36">
        <v>25</v>
      </c>
      <c r="B27" s="35" t="str">
        <f>IFERROR(VLOOKUP(A27,Calculations!$D$6:$AI$136,3,FALSE),"")</f>
        <v>Michael Baxter</v>
      </c>
      <c r="C27" s="75">
        <f>IFERROR(VLOOKUP(A27,Calculations!$D$6:$AI$136,4,FALSE),"")</f>
        <v>1917</v>
      </c>
      <c r="D27" s="75" t="str">
        <f>IFERROR(VLOOKUP(A27,Calculations!$D$6:$AI$136,5,FALSE),"")</f>
        <v>C</v>
      </c>
      <c r="E27" s="75" t="str">
        <f>IFERROR(VLOOKUP(A27,Calculations!$D$6:$AI$136,8,FALSE),"")</f>
        <v>PCP</v>
      </c>
      <c r="F27" s="75" t="str">
        <f>IFERROR(VLOOKUP(A27,Calculations!$D$6:$AI$136,9,FALSE),"")</f>
        <v>Carisbrooke</v>
      </c>
      <c r="G27" s="76">
        <f>IFERROR(VLOOKUP(A27,Calculations!$D$6:$AI$136,11,FALSE),"")</f>
        <v>24</v>
      </c>
      <c r="H27" s="76">
        <f>IFERROR(VLOOKUP(A27,Calculations!$D$6:$AI$136,12,FALSE),"")</f>
        <v>18</v>
      </c>
      <c r="I27" s="76" t="str">
        <f>IFERROR(VLOOKUP(A27,Calculations!$D$6:$AI$136,13,FALSE),"")</f>
        <v/>
      </c>
      <c r="J27" s="76">
        <f>IFERROR(VLOOKUP(A27,Calculations!$D$6:$AI$136,14,FALSE),"")</f>
        <v>19</v>
      </c>
      <c r="K27" s="76">
        <f>IFERROR(VLOOKUP(A27,Calculations!$D$6:$AI$136,15,FALSE),"")</f>
        <v>26</v>
      </c>
      <c r="L27" s="76">
        <f>IFERROR(VLOOKUP(A27,Calculations!$D$6:$AI$136,16,FALSE),"")</f>
        <v>24</v>
      </c>
      <c r="M27" s="76" t="str">
        <f>IFERROR(VLOOKUP(A27,Calculations!$D$6:$AI$136,17,FALSE),"")</f>
        <v/>
      </c>
      <c r="N27" s="76" t="str">
        <f>IFERROR(VLOOKUP(A27,Calculations!$D$6:$AI$136,18,FALSE),"")</f>
        <v/>
      </c>
      <c r="O27" s="58">
        <f>IFERROR(VLOOKUP(A27,Calculations!$D$6:$AI$136,27,FALSE),"")</f>
        <v>5</v>
      </c>
      <c r="P27" s="125">
        <f>IFERROR(VLOOKUP(A27,Calculations!$D$6:$AI$136,30,FALSE),"")</f>
        <v>111</v>
      </c>
    </row>
    <row r="28" spans="1:16" ht="15" x14ac:dyDescent="0.3">
      <c r="A28" s="36">
        <v>26</v>
      </c>
      <c r="B28" s="35" t="str">
        <f>IFERROR(VLOOKUP(A28,Calculations!$D$6:$AI$136,3,FALSE),"")</f>
        <v>Andy Winch</v>
      </c>
      <c r="C28" s="75">
        <f>IFERROR(VLOOKUP(A28,Calculations!$D$6:$AI$136,4,FALSE),"")</f>
        <v>93</v>
      </c>
      <c r="D28" s="75" t="str">
        <f>IFERROR(VLOOKUP(A28,Calculations!$D$6:$AI$136,5,FALSE),"")</f>
        <v>B</v>
      </c>
      <c r="E28" s="75" t="str">
        <f>IFERROR(VLOOKUP(A28,Calculations!$D$6:$AI$136,8,FALSE),"")</f>
        <v>PCP</v>
      </c>
      <c r="F28" s="75" t="str">
        <f>IFERROR(VLOOKUP(A28,Calculations!$D$6:$AI$136,9,FALSE),"")</f>
        <v>Carisbrooke</v>
      </c>
      <c r="G28" s="76">
        <f>IFERROR(VLOOKUP(A28,Calculations!$D$6:$AI$136,11,FALSE),"")</f>
        <v>28</v>
      </c>
      <c r="H28" s="76">
        <f>IFERROR(VLOOKUP(A28,Calculations!$D$6:$AI$136,12,FALSE),"")</f>
        <v>26</v>
      </c>
      <c r="I28" s="76" t="str">
        <f>IFERROR(VLOOKUP(A28,Calculations!$D$6:$AI$136,13,FALSE),"")</f>
        <v/>
      </c>
      <c r="J28" s="76">
        <f>IFERROR(VLOOKUP(A28,Calculations!$D$6:$AI$136,14,FALSE),"")</f>
        <v>23</v>
      </c>
      <c r="K28" s="76" t="str">
        <f>IFERROR(VLOOKUP(A28,Calculations!$D$6:$AI$136,15,FALSE),"")</f>
        <v/>
      </c>
      <c r="L28" s="76">
        <f>IFERROR(VLOOKUP(A28,Calculations!$D$6:$AI$136,16,FALSE),"")</f>
        <v>31</v>
      </c>
      <c r="M28" s="76" t="str">
        <f>IFERROR(VLOOKUP(A28,Calculations!$D$6:$AI$136,17,FALSE),"")</f>
        <v/>
      </c>
      <c r="N28" s="76" t="str">
        <f>IFERROR(VLOOKUP(A28,Calculations!$D$6:$AI$136,18,FALSE),"")</f>
        <v/>
      </c>
      <c r="O28" s="58">
        <f>IFERROR(VLOOKUP(A28,Calculations!$D$6:$AI$136,27,FALSE),"")</f>
        <v>4</v>
      </c>
      <c r="P28" s="125">
        <f>IFERROR(VLOOKUP(A28,Calculations!$D$6:$AI$136,30,FALSE),"")</f>
        <v>108</v>
      </c>
    </row>
    <row r="29" spans="1:16" ht="15" x14ac:dyDescent="0.3">
      <c r="A29" s="36">
        <v>27</v>
      </c>
      <c r="B29" s="35" t="str">
        <f>IFERROR(VLOOKUP(A29,Calculations!$D$6:$AI$136,3,FALSE),"")</f>
        <v>Simon Young</v>
      </c>
      <c r="C29" s="75">
        <f>IFERROR(VLOOKUP(A29,Calculations!$D$6:$AI$136,4,FALSE),"")</f>
        <v>88</v>
      </c>
      <c r="D29" s="75" t="str">
        <f>IFERROR(VLOOKUP(A29,Calculations!$D$6:$AI$136,5,FALSE),"")</f>
        <v>A</v>
      </c>
      <c r="E29" s="75" t="str">
        <f>IFERROR(VLOOKUP(A29,Calculations!$D$6:$AI$136,8,FALSE),"")</f>
        <v>PCP</v>
      </c>
      <c r="F29" s="75" t="str">
        <f>IFERROR(VLOOKUP(A29,Calculations!$D$6:$AI$136,9,FALSE),"")</f>
        <v>Buccaneers</v>
      </c>
      <c r="G29" s="76" t="str">
        <f>IFERROR(VLOOKUP(A29,Calculations!$D$6:$AI$136,11,FALSE),"")</f>
        <v/>
      </c>
      <c r="H29" s="76">
        <f>IFERROR(VLOOKUP(A29,Calculations!$D$6:$AI$136,12,FALSE),"")</f>
        <v>17</v>
      </c>
      <c r="I29" s="76">
        <f>IFERROR(VLOOKUP(A29,Calculations!$D$6:$AI$136,13,FALSE),"")</f>
        <v>31</v>
      </c>
      <c r="J29" s="76">
        <f>IFERROR(VLOOKUP(A29,Calculations!$D$6:$AI$136,14,FALSE),"")</f>
        <v>27</v>
      </c>
      <c r="K29" s="76" t="str">
        <f>IFERROR(VLOOKUP(A29,Calculations!$D$6:$AI$136,15,FALSE),"")</f>
        <v/>
      </c>
      <c r="L29" s="76">
        <f>IFERROR(VLOOKUP(A29,Calculations!$D$6:$AI$136,16,FALSE),"")</f>
        <v>32</v>
      </c>
      <c r="M29" s="76" t="str">
        <f>IFERROR(VLOOKUP(A29,Calculations!$D$6:$AI$136,17,FALSE),"")</f>
        <v/>
      </c>
      <c r="N29" s="76" t="str">
        <f>IFERROR(VLOOKUP(A29,Calculations!$D$6:$AI$136,18,FALSE),"")</f>
        <v/>
      </c>
      <c r="O29" s="58">
        <f>IFERROR(VLOOKUP(A29,Calculations!$D$6:$AI$136,27,FALSE),"")</f>
        <v>4</v>
      </c>
      <c r="P29" s="125">
        <f>IFERROR(VLOOKUP(A29,Calculations!$D$6:$AI$136,30,FALSE),"")</f>
        <v>107</v>
      </c>
    </row>
    <row r="30" spans="1:16" ht="15" x14ac:dyDescent="0.3">
      <c r="A30" s="36">
        <v>28</v>
      </c>
      <c r="B30" s="35" t="str">
        <f>IFERROR(VLOOKUP(A30,Calculations!$D$6:$AI$136,3,FALSE),"")</f>
        <v>Clive Turner</v>
      </c>
      <c r="C30" s="75" t="str">
        <f>IFERROR(VLOOKUP(A30,Calculations!$D$6:$AI$136,4,FALSE),"")</f>
        <v/>
      </c>
      <c r="D30" s="75" t="str">
        <f>IFERROR(VLOOKUP(A30,Calculations!$D$6:$AI$136,5,FALSE),"")</f>
        <v>AA</v>
      </c>
      <c r="E30" s="75" t="str">
        <f>IFERROR(VLOOKUP(A30,Calculations!$D$6:$AI$136,8,FALSE),"")</f>
        <v>Piston</v>
      </c>
      <c r="F30" s="75" t="str">
        <f>IFERROR(VLOOKUP(A30,Calculations!$D$6:$AI$136,9,FALSE),"")</f>
        <v>Weston Warrior</v>
      </c>
      <c r="G30" s="76" t="str">
        <f>IFERROR(VLOOKUP(A30,Calculations!$D$6:$AI$136,11,FALSE),"")</f>
        <v/>
      </c>
      <c r="H30" s="76" t="str">
        <f>IFERROR(VLOOKUP(A30,Calculations!$D$6:$AI$136,12,FALSE),"")</f>
        <v/>
      </c>
      <c r="I30" s="76" t="str">
        <f>IFERROR(VLOOKUP(A30,Calculations!$D$6:$AI$136,13,FALSE),"")</f>
        <v/>
      </c>
      <c r="J30" s="76">
        <f>IFERROR(VLOOKUP(A30,Calculations!$D$6:$AI$136,14,FALSE),"")</f>
        <v>33</v>
      </c>
      <c r="K30" s="76">
        <f>IFERROR(VLOOKUP(A30,Calculations!$D$6:$AI$136,15,FALSE),"")</f>
        <v>34</v>
      </c>
      <c r="L30" s="76">
        <f>IFERROR(VLOOKUP(A30,Calculations!$D$6:$AI$136,16,FALSE),"")</f>
        <v>35</v>
      </c>
      <c r="M30" s="76" t="str">
        <f>IFERROR(VLOOKUP(A30,Calculations!$D$6:$AI$136,17,FALSE),"")</f>
        <v/>
      </c>
      <c r="N30" s="76" t="str">
        <f>IFERROR(VLOOKUP(A30,Calculations!$D$6:$AI$136,18,FALSE),"")</f>
        <v/>
      </c>
      <c r="O30" s="58">
        <f>IFERROR(VLOOKUP(A30,Calculations!$D$6:$AI$136,27,FALSE),"")</f>
        <v>3</v>
      </c>
      <c r="P30" s="125">
        <f>IFERROR(VLOOKUP(A30,Calculations!$D$6:$AI$136,30,FALSE),"")</f>
        <v>102</v>
      </c>
    </row>
    <row r="31" spans="1:16" ht="15" x14ac:dyDescent="0.3">
      <c r="A31" s="36">
        <v>29</v>
      </c>
      <c r="B31" s="35" t="str">
        <f>IFERROR(VLOOKUP(A31,Calculations!$D$6:$AI$136,3,FALSE),"")</f>
        <v>Kevin Bird</v>
      </c>
      <c r="C31" s="75">
        <f>IFERROR(VLOOKUP(A31,Calculations!$D$6:$AI$136,4,FALSE),"")</f>
        <v>1877</v>
      </c>
      <c r="D31" s="75" t="str">
        <f>IFERROR(VLOOKUP(A31,Calculations!$D$6:$AI$136,5,FALSE),"")</f>
        <v>B</v>
      </c>
      <c r="E31" s="75" t="str">
        <f>IFERROR(VLOOKUP(A31,Calculations!$D$6:$AI$136,8,FALSE),"")</f>
        <v>PCP</v>
      </c>
      <c r="F31" s="75" t="str">
        <f>IFERROR(VLOOKUP(A31,Calculations!$D$6:$AI$136,9,FALSE),"")</f>
        <v>Newbury</v>
      </c>
      <c r="G31" s="76" t="str">
        <f>IFERROR(VLOOKUP(A31,Calculations!$D$6:$AI$136,11,FALSE),"")</f>
        <v/>
      </c>
      <c r="H31" s="76">
        <f>IFERROR(VLOOKUP(A31,Calculations!$D$6:$AI$136,12,FALSE),"")</f>
        <v>22</v>
      </c>
      <c r="I31" s="76">
        <f>IFERROR(VLOOKUP(A31,Calculations!$D$6:$AI$136,13,FALSE),"")</f>
        <v>25</v>
      </c>
      <c r="J31" s="76">
        <f>IFERROR(VLOOKUP(A31,Calculations!$D$6:$AI$136,14,FALSE),"")</f>
        <v>27</v>
      </c>
      <c r="K31" s="76">
        <f>IFERROR(VLOOKUP(A31,Calculations!$D$6:$AI$136,15,FALSE),"")</f>
        <v>28</v>
      </c>
      <c r="L31" s="76" t="str">
        <f>IFERROR(VLOOKUP(A31,Calculations!$D$6:$AI$136,16,FALSE),"")</f>
        <v/>
      </c>
      <c r="M31" s="76" t="str">
        <f>IFERROR(VLOOKUP(A31,Calculations!$D$6:$AI$136,17,FALSE),"")</f>
        <v/>
      </c>
      <c r="N31" s="76" t="str">
        <f>IFERROR(VLOOKUP(A31,Calculations!$D$6:$AI$136,18,FALSE),"")</f>
        <v/>
      </c>
      <c r="O31" s="58">
        <f>IFERROR(VLOOKUP(A31,Calculations!$D$6:$AI$136,27,FALSE),"")</f>
        <v>4</v>
      </c>
      <c r="P31" s="125">
        <f>IFERROR(VLOOKUP(A31,Calculations!$D$6:$AI$136,30,FALSE),"")</f>
        <v>102</v>
      </c>
    </row>
    <row r="32" spans="1:16" ht="15" x14ac:dyDescent="0.3">
      <c r="A32" s="36">
        <v>30</v>
      </c>
      <c r="B32" s="35" t="str">
        <f>IFERROR(VLOOKUP(A32,Calculations!$D$6:$AI$136,3,FALSE),"")</f>
        <v>Barry Warren</v>
      </c>
      <c r="C32" s="75">
        <f>IFERROR(VLOOKUP(A32,Calculations!$D$6:$AI$136,4,FALSE),"")</f>
        <v>1616</v>
      </c>
      <c r="D32" s="75" t="str">
        <f>IFERROR(VLOOKUP(A32,Calculations!$D$6:$AI$136,5,FALSE),"")</f>
        <v>AA</v>
      </c>
      <c r="E32" s="75" t="str">
        <f>IFERROR(VLOOKUP(A32,Calculations!$D$6:$AI$136,8,FALSE),"")</f>
        <v>PCP</v>
      </c>
      <c r="F32" s="75" t="str">
        <f>IFERROR(VLOOKUP(A32,Calculations!$D$6:$AI$136,9,FALSE),"")</f>
        <v>Carisbrooke</v>
      </c>
      <c r="G32" s="76">
        <f>IFERROR(VLOOKUP(A32,Calculations!$D$6:$AI$136,11,FALSE),"")</f>
        <v>32</v>
      </c>
      <c r="H32" s="76" t="str">
        <f>IFERROR(VLOOKUP(A32,Calculations!$D$6:$AI$136,12,FALSE),"")</f>
        <v/>
      </c>
      <c r="I32" s="76" t="str">
        <f>IFERROR(VLOOKUP(A32,Calculations!$D$6:$AI$136,13,FALSE),"")</f>
        <v/>
      </c>
      <c r="J32" s="76" t="str">
        <f>IFERROR(VLOOKUP(A32,Calculations!$D$6:$AI$136,14,FALSE),"")</f>
        <v/>
      </c>
      <c r="K32" s="76">
        <f>IFERROR(VLOOKUP(A32,Calculations!$D$6:$AI$136,15,FALSE),"")</f>
        <v>33</v>
      </c>
      <c r="L32" s="76">
        <f>IFERROR(VLOOKUP(A32,Calculations!$D$6:$AI$136,16,FALSE),"")</f>
        <v>34</v>
      </c>
      <c r="M32" s="76" t="str">
        <f>IFERROR(VLOOKUP(A32,Calculations!$D$6:$AI$136,17,FALSE),"")</f>
        <v/>
      </c>
      <c r="N32" s="76" t="str">
        <f>IFERROR(VLOOKUP(A32,Calculations!$D$6:$AI$136,18,FALSE),"")</f>
        <v/>
      </c>
      <c r="O32" s="58">
        <f>IFERROR(VLOOKUP(A32,Calculations!$D$6:$AI$136,27,FALSE),"")</f>
        <v>3</v>
      </c>
      <c r="P32" s="125">
        <f>IFERROR(VLOOKUP(A32,Calculations!$D$6:$AI$136,30,FALSE),"")</f>
        <v>99</v>
      </c>
    </row>
    <row r="33" spans="1:16" ht="15" x14ac:dyDescent="0.3">
      <c r="A33" s="36">
        <v>31</v>
      </c>
      <c r="B33" s="35" t="str">
        <f>IFERROR(VLOOKUP(A33,Calculations!$D$6:$AI$136,3,FALSE),"")</f>
        <v>Stephen Lucas</v>
      </c>
      <c r="C33" s="75">
        <f>IFERROR(VLOOKUP(A33,Calculations!$D$6:$AI$136,4,FALSE),"")</f>
        <v>1544</v>
      </c>
      <c r="D33" s="75" t="str">
        <f>IFERROR(VLOOKUP(A33,Calculations!$D$6:$AI$136,5,FALSE),"")</f>
        <v>AA</v>
      </c>
      <c r="E33" s="75" t="str">
        <f>IFERROR(VLOOKUP(A33,Calculations!$D$6:$AI$136,8,FALSE),"")</f>
        <v>PCP</v>
      </c>
      <c r="F33" s="75" t="str">
        <f>IFERROR(VLOOKUP(A33,Calculations!$D$6:$AI$136,9,FALSE),"")</f>
        <v>Buccaneers</v>
      </c>
      <c r="G33" s="76" t="str">
        <f>IFERROR(VLOOKUP(A33,Calculations!$D$6:$AI$136,11,FALSE),"")</f>
        <v/>
      </c>
      <c r="H33" s="76" t="str">
        <f>IFERROR(VLOOKUP(A33,Calculations!$D$6:$AI$136,12,FALSE),"")</f>
        <v/>
      </c>
      <c r="I33" s="76" t="str">
        <f>IFERROR(VLOOKUP(A33,Calculations!$D$6:$AI$136,13,FALSE),"")</f>
        <v/>
      </c>
      <c r="J33" s="76">
        <f>IFERROR(VLOOKUP(A33,Calculations!$D$6:$AI$136,14,FALSE),"")</f>
        <v>29</v>
      </c>
      <c r="K33" s="76">
        <f>IFERROR(VLOOKUP(A33,Calculations!$D$6:$AI$136,15,FALSE),"")</f>
        <v>32</v>
      </c>
      <c r="L33" s="76">
        <f>IFERROR(VLOOKUP(A33,Calculations!$D$6:$AI$136,16,FALSE),"")</f>
        <v>36</v>
      </c>
      <c r="M33" s="76" t="str">
        <f>IFERROR(VLOOKUP(A33,Calculations!$D$6:$AI$136,17,FALSE),"")</f>
        <v/>
      </c>
      <c r="N33" s="76" t="str">
        <f>IFERROR(VLOOKUP(A33,Calculations!$D$6:$AI$136,18,FALSE),"")</f>
        <v/>
      </c>
      <c r="O33" s="58">
        <f>IFERROR(VLOOKUP(A33,Calculations!$D$6:$AI$136,27,FALSE),"")</f>
        <v>3</v>
      </c>
      <c r="P33" s="125">
        <f>IFERROR(VLOOKUP(A33,Calculations!$D$6:$AI$136,30,FALSE),"")</f>
        <v>97</v>
      </c>
    </row>
    <row r="34" spans="1:16" ht="15" x14ac:dyDescent="0.3">
      <c r="A34" s="36">
        <v>32</v>
      </c>
      <c r="B34" s="35" t="str">
        <f>IFERROR(VLOOKUP(A34,Calculations!$D$6:$AI$136,3,FALSE),"")</f>
        <v>Kim Mulford</v>
      </c>
      <c r="C34" s="75">
        <f>IFERROR(VLOOKUP(A34,Calculations!$D$6:$AI$136,4,FALSE),"")</f>
        <v>1513</v>
      </c>
      <c r="D34" s="75" t="str">
        <f>IFERROR(VLOOKUP(A34,Calculations!$D$6:$AI$136,5,FALSE),"")</f>
        <v>C</v>
      </c>
      <c r="E34" s="75" t="str">
        <f>IFERROR(VLOOKUP(A34,Calculations!$D$6:$AI$136,8,FALSE),"")</f>
        <v>Piston</v>
      </c>
      <c r="F34" s="75" t="str">
        <f>IFERROR(VLOOKUP(A34,Calculations!$D$6:$AI$136,9,FALSE),"")</f>
        <v>Newbury</v>
      </c>
      <c r="G34" s="76" t="str">
        <f>IFERROR(VLOOKUP(A34,Calculations!$D$6:$AI$136,11,FALSE),"")</f>
        <v/>
      </c>
      <c r="H34" s="76" t="str">
        <f>IFERROR(VLOOKUP(A34,Calculations!$D$6:$AI$136,12,FALSE),"")</f>
        <v/>
      </c>
      <c r="I34" s="76">
        <f>IFERROR(VLOOKUP(A34,Calculations!$D$6:$AI$136,13,FALSE),"")</f>
        <v>26</v>
      </c>
      <c r="J34" s="76">
        <f>IFERROR(VLOOKUP(A34,Calculations!$D$6:$AI$136,14,FALSE),"")</f>
        <v>18</v>
      </c>
      <c r="K34" s="76">
        <f>IFERROR(VLOOKUP(A34,Calculations!$D$6:$AI$136,15,FALSE),"")</f>
        <v>20</v>
      </c>
      <c r="L34" s="76" t="str">
        <f>IFERROR(VLOOKUP(A34,Calculations!$D$6:$AI$136,16,FALSE),"")</f>
        <v/>
      </c>
      <c r="M34" s="76" t="str">
        <f>IFERROR(VLOOKUP(A34,Calculations!$D$6:$AI$136,17,FALSE),"")</f>
        <v/>
      </c>
      <c r="N34" s="76" t="str">
        <f>IFERROR(VLOOKUP(A34,Calculations!$D$6:$AI$136,18,FALSE),"")</f>
        <v/>
      </c>
      <c r="O34" s="58">
        <f>IFERROR(VLOOKUP(A34,Calculations!$D$6:$AI$136,27,FALSE),"")</f>
        <v>3</v>
      </c>
      <c r="P34" s="125">
        <f>IFERROR(VLOOKUP(A34,Calculations!$D$6:$AI$136,30,FALSE),"")</f>
        <v>64</v>
      </c>
    </row>
    <row r="35" spans="1:16" ht="15" x14ac:dyDescent="0.3">
      <c r="A35" s="36">
        <v>33</v>
      </c>
      <c r="B35" s="35" t="str">
        <f>IFERROR(VLOOKUP(A35,Calculations!$D$6:$AI$136,3,FALSE),"")</f>
        <v>Graeme Burn</v>
      </c>
      <c r="C35" s="75" t="str">
        <f>IFERROR(VLOOKUP(A35,Calculations!$D$6:$AI$136,4,FALSE),"")</f>
        <v/>
      </c>
      <c r="D35" s="75" t="str">
        <f>IFERROR(VLOOKUP(A35,Calculations!$D$6:$AI$136,5,FALSE),"")</f>
        <v>B</v>
      </c>
      <c r="E35" s="75" t="str">
        <f>IFERROR(VLOOKUP(A35,Calculations!$D$6:$AI$136,8,FALSE),"")</f>
        <v>Piston</v>
      </c>
      <c r="F35" s="75" t="str">
        <f>IFERROR(VLOOKUP(A35,Calculations!$D$6:$AI$136,9,FALSE),"")</f>
        <v>Weston Warrior</v>
      </c>
      <c r="G35" s="76">
        <f>IFERROR(VLOOKUP(A35,Calculations!$D$6:$AI$136,11,FALSE),"")</f>
        <v>18</v>
      </c>
      <c r="H35" s="76">
        <f>IFERROR(VLOOKUP(A35,Calculations!$D$6:$AI$136,12,FALSE),"")</f>
        <v>20</v>
      </c>
      <c r="I35" s="76">
        <f>IFERROR(VLOOKUP(A35,Calculations!$D$6:$AI$136,13,FALSE),"")</f>
        <v>25</v>
      </c>
      <c r="J35" s="76" t="str">
        <f>IFERROR(VLOOKUP(A35,Calculations!$D$6:$AI$136,14,FALSE),"")</f>
        <v/>
      </c>
      <c r="K35" s="76" t="str">
        <f>IFERROR(VLOOKUP(A35,Calculations!$D$6:$AI$136,15,FALSE),"")</f>
        <v/>
      </c>
      <c r="L35" s="76" t="str">
        <f>IFERROR(VLOOKUP(A35,Calculations!$D$6:$AI$136,16,FALSE),"")</f>
        <v/>
      </c>
      <c r="M35" s="76" t="str">
        <f>IFERROR(VLOOKUP(A35,Calculations!$D$6:$AI$136,17,FALSE),"")</f>
        <v/>
      </c>
      <c r="N35" s="76" t="str">
        <f>IFERROR(VLOOKUP(A35,Calculations!$D$6:$AI$136,18,FALSE),"")</f>
        <v/>
      </c>
      <c r="O35" s="58">
        <f>IFERROR(VLOOKUP(A35,Calculations!$D$6:$AI$136,27,FALSE),"")</f>
        <v>3</v>
      </c>
      <c r="P35" s="125">
        <f>IFERROR(VLOOKUP(A35,Calculations!$D$6:$AI$136,30,FALSE),"")</f>
        <v>63</v>
      </c>
    </row>
    <row r="36" spans="1:16" ht="15" x14ac:dyDescent="0.3">
      <c r="A36" s="36">
        <v>34</v>
      </c>
      <c r="B36" s="35" t="str">
        <f>IFERROR(VLOOKUP(A36,Calculations!$D$6:$AI$136,3,FALSE),"")</f>
        <v>Paul Somerville</v>
      </c>
      <c r="C36" s="75">
        <f>IFERROR(VLOOKUP(A36,Calculations!$D$6:$AI$136,4,FALSE),"")</f>
        <v>1881</v>
      </c>
      <c r="D36" s="75" t="str">
        <f>IFERROR(VLOOKUP(A36,Calculations!$D$6:$AI$136,5,FALSE),"")</f>
        <v>A</v>
      </c>
      <c r="E36" s="75" t="str">
        <f>IFERROR(VLOOKUP(A36,Calculations!$D$6:$AI$136,8,FALSE),"")</f>
        <v>PCP</v>
      </c>
      <c r="F36" s="75" t="str">
        <f>IFERROR(VLOOKUP(A36,Calculations!$D$6:$AI$136,9,FALSE),"")</f>
        <v>Meon</v>
      </c>
      <c r="G36" s="76">
        <f>IFERROR(VLOOKUP(A36,Calculations!$D$6:$AI$136,11,FALSE),"")</f>
        <v>28</v>
      </c>
      <c r="H36" s="76" t="str">
        <f>IFERROR(VLOOKUP(A36,Calculations!$D$6:$AI$136,12,FALSE),"")</f>
        <v/>
      </c>
      <c r="I36" s="76">
        <f>IFERROR(VLOOKUP(A36,Calculations!$D$6:$AI$136,13,FALSE),"")</f>
        <v>31</v>
      </c>
      <c r="J36" s="76" t="str">
        <f>IFERROR(VLOOKUP(A36,Calculations!$D$6:$AI$136,14,FALSE),"")</f>
        <v/>
      </c>
      <c r="K36" s="76" t="str">
        <f>IFERROR(VLOOKUP(A36,Calculations!$D$6:$AI$136,15,FALSE),"")</f>
        <v/>
      </c>
      <c r="L36" s="76" t="str">
        <f>IFERROR(VLOOKUP(A36,Calculations!$D$6:$AI$136,16,FALSE),"")</f>
        <v/>
      </c>
      <c r="M36" s="76" t="str">
        <f>IFERROR(VLOOKUP(A36,Calculations!$D$6:$AI$136,17,FALSE),"")</f>
        <v/>
      </c>
      <c r="N36" s="76" t="str">
        <f>IFERROR(VLOOKUP(A36,Calculations!$D$6:$AI$136,18,FALSE),"")</f>
        <v/>
      </c>
      <c r="O36" s="58">
        <f>IFERROR(VLOOKUP(A36,Calculations!$D$6:$AI$136,27,FALSE),"")</f>
        <v>2</v>
      </c>
      <c r="P36" s="125">
        <f>IFERROR(VLOOKUP(A36,Calculations!$D$6:$AI$136,30,FALSE),"")</f>
        <v>59</v>
      </c>
    </row>
    <row r="37" spans="1:16" ht="15" x14ac:dyDescent="0.3">
      <c r="A37" s="36">
        <v>35</v>
      </c>
      <c r="B37" s="35" t="str">
        <f>IFERROR(VLOOKUP(A37,Calculations!$D$6:$AI$136,3,FALSE),"")</f>
        <v>Paul Whitehouse</v>
      </c>
      <c r="C37" s="75">
        <f>IFERROR(VLOOKUP(A37,Calculations!$D$6:$AI$136,4,FALSE),"")</f>
        <v>1816</v>
      </c>
      <c r="D37" s="75" t="str">
        <f>IFERROR(VLOOKUP(A37,Calculations!$D$6:$AI$136,5,FALSE),"")</f>
        <v>O</v>
      </c>
      <c r="E37" s="75" t="str">
        <f>IFERROR(VLOOKUP(A37,Calculations!$D$6:$AI$136,8,FALSE),"")</f>
        <v>Open</v>
      </c>
      <c r="F37" s="75" t="str">
        <f>IFERROR(VLOOKUP(A37,Calculations!$D$6:$AI$136,9,FALSE),"")</f>
        <v>Frobury</v>
      </c>
      <c r="G37" s="76" t="str">
        <f>IFERROR(VLOOKUP(A37,Calculations!$D$6:$AI$136,11,FALSE),"")</f>
        <v/>
      </c>
      <c r="H37" s="76">
        <f>IFERROR(VLOOKUP(A37,Calculations!$D$6:$AI$136,12,FALSE),"")</f>
        <v>27</v>
      </c>
      <c r="I37" s="76" t="str">
        <f>IFERROR(VLOOKUP(A37,Calculations!$D$6:$AI$136,13,FALSE),"")</f>
        <v/>
      </c>
      <c r="J37" s="76" t="str">
        <f>IFERROR(VLOOKUP(A37,Calculations!$D$6:$AI$136,14,FALSE),"")</f>
        <v/>
      </c>
      <c r="K37" s="76" t="str">
        <f>IFERROR(VLOOKUP(A37,Calculations!$D$6:$AI$136,15,FALSE),"")</f>
        <v/>
      </c>
      <c r="L37" s="76">
        <f>IFERROR(VLOOKUP(A37,Calculations!$D$6:$AI$136,16,FALSE),"")</f>
        <v>32</v>
      </c>
      <c r="M37" s="76" t="str">
        <f>IFERROR(VLOOKUP(A37,Calculations!$D$6:$AI$136,17,FALSE),"")</f>
        <v/>
      </c>
      <c r="N37" s="76" t="str">
        <f>IFERROR(VLOOKUP(A37,Calculations!$D$6:$AI$136,18,FALSE),"")</f>
        <v/>
      </c>
      <c r="O37" s="58">
        <f>IFERROR(VLOOKUP(A37,Calculations!$D$6:$AI$136,27,FALSE),"")</f>
        <v>2</v>
      </c>
      <c r="P37" s="125">
        <f>IFERROR(VLOOKUP(A37,Calculations!$D$6:$AI$136,30,FALSE),"")</f>
        <v>59</v>
      </c>
    </row>
    <row r="38" spans="1:16" ht="15" x14ac:dyDescent="0.3">
      <c r="A38" s="36">
        <v>36</v>
      </c>
      <c r="B38" s="35" t="str">
        <f>IFERROR(VLOOKUP(A38,Calculations!$D$6:$AI$136,3,FALSE),"")</f>
        <v>Nick Welch</v>
      </c>
      <c r="C38" s="75">
        <f>IFERROR(VLOOKUP(A38,Calculations!$D$6:$AI$136,4,FALSE),"")</f>
        <v>1902</v>
      </c>
      <c r="D38" s="75" t="str">
        <f>IFERROR(VLOOKUP(A38,Calculations!$D$6:$AI$136,5,FALSE),"")</f>
        <v>U/G</v>
      </c>
      <c r="E38" s="75" t="str">
        <f>IFERROR(VLOOKUP(A38,Calculations!$D$6:$AI$136,8,FALSE),"")</f>
        <v>PCP</v>
      </c>
      <c r="F38" s="75" t="str">
        <f>IFERROR(VLOOKUP(A38,Calculations!$D$6:$AI$136,9,FALSE),"")</f>
        <v>Newbury</v>
      </c>
      <c r="G38" s="76" t="str">
        <f>IFERROR(VLOOKUP(A38,Calculations!$D$6:$AI$136,11,FALSE),"")</f>
        <v/>
      </c>
      <c r="H38" s="76" t="str">
        <f>IFERROR(VLOOKUP(A38,Calculations!$D$6:$AI$136,12,FALSE),"")</f>
        <v/>
      </c>
      <c r="I38" s="76">
        <f>IFERROR(VLOOKUP(A38,Calculations!$D$6:$AI$136,13,FALSE),"")</f>
        <v>21</v>
      </c>
      <c r="J38" s="76" t="str">
        <f>IFERROR(VLOOKUP(A38,Calculations!$D$6:$AI$136,14,FALSE),"")</f>
        <v/>
      </c>
      <c r="K38" s="76" t="str">
        <f>IFERROR(VLOOKUP(A38,Calculations!$D$6:$AI$136,15,FALSE),"")</f>
        <v/>
      </c>
      <c r="L38" s="76">
        <f>IFERROR(VLOOKUP(A38,Calculations!$D$6:$AI$136,16,FALSE),"")</f>
        <v>28</v>
      </c>
      <c r="M38" s="76" t="str">
        <f>IFERROR(VLOOKUP(A38,Calculations!$D$6:$AI$136,17,FALSE),"")</f>
        <v/>
      </c>
      <c r="N38" s="76" t="str">
        <f>IFERROR(VLOOKUP(A38,Calculations!$D$6:$AI$136,18,FALSE),"")</f>
        <v/>
      </c>
      <c r="O38" s="58">
        <f>IFERROR(VLOOKUP(A38,Calculations!$D$6:$AI$136,27,FALSE),"")</f>
        <v>2</v>
      </c>
      <c r="P38" s="125">
        <f>IFERROR(VLOOKUP(A38,Calculations!$D$6:$AI$136,30,FALSE),"")</f>
        <v>49</v>
      </c>
    </row>
    <row r="39" spans="1:16" ht="15" x14ac:dyDescent="0.3">
      <c r="A39" s="36">
        <v>37</v>
      </c>
      <c r="B39" s="35" t="str">
        <f>IFERROR(VLOOKUP(A39,Calculations!$D$6:$AI$136,3,FALSE),"")</f>
        <v>Richard Bright</v>
      </c>
      <c r="C39" s="75">
        <f>IFERROR(VLOOKUP(A39,Calculations!$D$6:$AI$136,4,FALSE),"")</f>
        <v>1654</v>
      </c>
      <c r="D39" s="75" t="str">
        <f>IFERROR(VLOOKUP(A39,Calculations!$D$6:$AI$136,5,FALSE),"")</f>
        <v>C</v>
      </c>
      <c r="E39" s="75" t="str">
        <f>IFERROR(VLOOKUP(A39,Calculations!$D$6:$AI$136,8,FALSE),"")</f>
        <v>PCP</v>
      </c>
      <c r="F39" s="75" t="str">
        <f>IFERROR(VLOOKUP(A39,Calculations!$D$6:$AI$136,9,FALSE),"")</f>
        <v>Newbury</v>
      </c>
      <c r="G39" s="76">
        <f>IFERROR(VLOOKUP(A39,Calculations!$D$6:$AI$136,11,FALSE),"")</f>
        <v>14</v>
      </c>
      <c r="H39" s="76">
        <f>IFERROR(VLOOKUP(A39,Calculations!$D$6:$AI$136,12,FALSE),"")</f>
        <v>12</v>
      </c>
      <c r="I39" s="76">
        <f>IFERROR(VLOOKUP(A39,Calculations!$D$6:$AI$136,13,FALSE),"")</f>
        <v>20</v>
      </c>
      <c r="J39" s="76" t="str">
        <f>IFERROR(VLOOKUP(A39,Calculations!$D$6:$AI$136,14,FALSE),"")</f>
        <v/>
      </c>
      <c r="K39" s="76" t="str">
        <f>IFERROR(VLOOKUP(A39,Calculations!$D$6:$AI$136,15,FALSE),"")</f>
        <v/>
      </c>
      <c r="L39" s="76" t="str">
        <f>IFERROR(VLOOKUP(A39,Calculations!$D$6:$AI$136,16,FALSE),"")</f>
        <v/>
      </c>
      <c r="M39" s="76" t="str">
        <f>IFERROR(VLOOKUP(A39,Calculations!$D$6:$AI$136,17,FALSE),"")</f>
        <v/>
      </c>
      <c r="N39" s="76" t="str">
        <f>IFERROR(VLOOKUP(A39,Calculations!$D$6:$AI$136,18,FALSE),"")</f>
        <v/>
      </c>
      <c r="O39" s="58">
        <f>IFERROR(VLOOKUP(A39,Calculations!$D$6:$AI$136,27,FALSE),"")</f>
        <v>3</v>
      </c>
      <c r="P39" s="125">
        <f>IFERROR(VLOOKUP(A39,Calculations!$D$6:$AI$136,30,FALSE),"")</f>
        <v>46</v>
      </c>
    </row>
    <row r="40" spans="1:16" ht="15" x14ac:dyDescent="0.3">
      <c r="A40" s="36">
        <v>38</v>
      </c>
      <c r="B40" s="35" t="str">
        <f>IFERROR(VLOOKUP(A40,Calculations!$D$6:$AI$136,3,FALSE),"")</f>
        <v>Steve Merrett</v>
      </c>
      <c r="C40" s="75" t="str">
        <f>IFERROR(VLOOKUP(A40,Calculations!$D$6:$AI$136,4,FALSE),"")</f>
        <v/>
      </c>
      <c r="D40" s="75" t="str">
        <f>IFERROR(VLOOKUP(A40,Calculations!$D$6:$AI$136,5,FALSE),"")</f>
        <v>Visitor</v>
      </c>
      <c r="E40" s="75" t="str">
        <f>IFERROR(VLOOKUP(A40,Calculations!$D$6:$AI$136,8,FALSE),"")</f>
        <v>Piston</v>
      </c>
      <c r="F40" s="75" t="str">
        <f>IFERROR(VLOOKUP(A40,Calculations!$D$6:$AI$136,9,FALSE),"")</f>
        <v>Visitor</v>
      </c>
      <c r="G40" s="76" t="str">
        <f>IFERROR(VLOOKUP(A40,Calculations!$D$6:$AI$136,11,FALSE),"")</f>
        <v/>
      </c>
      <c r="H40" s="76" t="str">
        <f>IFERROR(VLOOKUP(A40,Calculations!$D$6:$AI$136,12,FALSE),"")</f>
        <v/>
      </c>
      <c r="I40" s="76" t="str">
        <f>IFERROR(VLOOKUP(A40,Calculations!$D$6:$AI$136,13,FALSE),"")</f>
        <v/>
      </c>
      <c r="J40" s="76">
        <f>IFERROR(VLOOKUP(A40,Calculations!$D$6:$AI$136,14,FALSE),"")</f>
        <v>21</v>
      </c>
      <c r="K40" s="76">
        <f>IFERROR(VLOOKUP(A40,Calculations!$D$6:$AI$136,15,FALSE),"")</f>
        <v>22</v>
      </c>
      <c r="L40" s="76" t="str">
        <f>IFERROR(VLOOKUP(A40,Calculations!$D$6:$AI$136,16,FALSE),"")</f>
        <v/>
      </c>
      <c r="M40" s="76" t="str">
        <f>IFERROR(VLOOKUP(A40,Calculations!$D$6:$AI$136,17,FALSE),"")</f>
        <v/>
      </c>
      <c r="N40" s="76" t="str">
        <f>IFERROR(VLOOKUP(A40,Calculations!$D$6:$AI$136,18,FALSE),"")</f>
        <v/>
      </c>
      <c r="O40" s="58">
        <f>IFERROR(VLOOKUP(A40,Calculations!$D$6:$AI$136,27,FALSE),"")</f>
        <v>2</v>
      </c>
      <c r="P40" s="125">
        <f>IFERROR(VLOOKUP(A40,Calculations!$D$6:$AI$136,30,FALSE),"")</f>
        <v>43</v>
      </c>
    </row>
    <row r="41" spans="1:16" ht="15" x14ac:dyDescent="0.3">
      <c r="A41" s="36">
        <v>39</v>
      </c>
      <c r="B41" s="35" t="str">
        <f>IFERROR(VLOOKUP(A41,Calculations!$D$6:$AI$136,3,FALSE),"")</f>
        <v>James Woodhead</v>
      </c>
      <c r="C41" s="75">
        <f>IFERROR(VLOOKUP(A41,Calculations!$D$6:$AI$136,4,FALSE),"")</f>
        <v>60</v>
      </c>
      <c r="D41" s="75" t="str">
        <f>IFERROR(VLOOKUP(A41,Calculations!$D$6:$AI$136,5,FALSE),"")</f>
        <v>U/G</v>
      </c>
      <c r="E41" s="75" t="str">
        <f>IFERROR(VLOOKUP(A41,Calculations!$D$6:$AI$136,8,FALSE),"")</f>
        <v>PCP</v>
      </c>
      <c r="F41" s="75" t="str">
        <f>IFERROR(VLOOKUP(A41,Calculations!$D$6:$AI$136,9,FALSE),"")</f>
        <v>Frobury</v>
      </c>
      <c r="G41" s="76">
        <f>IFERROR(VLOOKUP(A41,Calculations!$D$6:$AI$136,11,FALSE),"")</f>
        <v>36</v>
      </c>
      <c r="H41" s="76" t="str">
        <f>IFERROR(VLOOKUP(A41,Calculations!$D$6:$AI$136,12,FALSE),"")</f>
        <v/>
      </c>
      <c r="I41" s="76" t="str">
        <f>IFERROR(VLOOKUP(A41,Calculations!$D$6:$AI$136,13,FALSE),"")</f>
        <v/>
      </c>
      <c r="J41" s="76" t="str">
        <f>IFERROR(VLOOKUP(A41,Calculations!$D$6:$AI$136,14,FALSE),"")</f>
        <v/>
      </c>
      <c r="K41" s="76" t="str">
        <f>IFERROR(VLOOKUP(A41,Calculations!$D$6:$AI$136,15,FALSE),"")</f>
        <v/>
      </c>
      <c r="L41" s="76" t="str">
        <f>IFERROR(VLOOKUP(A41,Calculations!$D$6:$AI$136,16,FALSE),"")</f>
        <v/>
      </c>
      <c r="M41" s="76" t="str">
        <f>IFERROR(VLOOKUP(A41,Calculations!$D$6:$AI$136,17,FALSE),"")</f>
        <v/>
      </c>
      <c r="N41" s="76" t="str">
        <f>IFERROR(VLOOKUP(A41,Calculations!$D$6:$AI$136,18,FALSE),"")</f>
        <v/>
      </c>
      <c r="O41" s="58">
        <f>IFERROR(VLOOKUP(A41,Calculations!$D$6:$AI$136,27,FALSE),"")</f>
        <v>1</v>
      </c>
      <c r="P41" s="125">
        <f>IFERROR(VLOOKUP(A41,Calculations!$D$6:$AI$136,30,FALSE),"")</f>
        <v>36</v>
      </c>
    </row>
    <row r="42" spans="1:16" ht="15" x14ac:dyDescent="0.3">
      <c r="A42" s="36">
        <v>40</v>
      </c>
      <c r="B42" s="35" t="str">
        <f>IFERROR(VLOOKUP(A42,Calculations!$D$6:$AI$136,3,FALSE),"")</f>
        <v>Simon Treacher</v>
      </c>
      <c r="C42" s="75" t="str">
        <f>IFERROR(VLOOKUP(A42,Calculations!$D$6:$AI$136,4,FALSE),"")</f>
        <v/>
      </c>
      <c r="D42" s="75" t="str">
        <f>IFERROR(VLOOKUP(A42,Calculations!$D$6:$AI$136,5,FALSE),"")</f>
        <v>U/G</v>
      </c>
      <c r="E42" s="75" t="str">
        <f>IFERROR(VLOOKUP(A42,Calculations!$D$6:$AI$136,8,FALSE),"")</f>
        <v>PCP</v>
      </c>
      <c r="F42" s="75" t="str">
        <f>IFERROR(VLOOKUP(A42,Calculations!$D$6:$AI$136,9,FALSE),"")</f>
        <v>Buccaneers</v>
      </c>
      <c r="G42" s="76" t="str">
        <f>IFERROR(VLOOKUP(A42,Calculations!$D$6:$AI$136,11,FALSE),"")</f>
        <v/>
      </c>
      <c r="H42" s="76" t="str">
        <f>IFERROR(VLOOKUP(A42,Calculations!$D$6:$AI$136,12,FALSE),"")</f>
        <v/>
      </c>
      <c r="I42" s="76">
        <f>IFERROR(VLOOKUP(A42,Calculations!$D$6:$AI$136,13,FALSE),"")</f>
        <v>34</v>
      </c>
      <c r="J42" s="76" t="str">
        <f>IFERROR(VLOOKUP(A42,Calculations!$D$6:$AI$136,14,FALSE),"")</f>
        <v/>
      </c>
      <c r="K42" s="76" t="str">
        <f>IFERROR(VLOOKUP(A42,Calculations!$D$6:$AI$136,15,FALSE),"")</f>
        <v/>
      </c>
      <c r="L42" s="76" t="str">
        <f>IFERROR(VLOOKUP(A42,Calculations!$D$6:$AI$136,16,FALSE),"")</f>
        <v/>
      </c>
      <c r="M42" s="76" t="str">
        <f>IFERROR(VLOOKUP(A42,Calculations!$D$6:$AI$136,17,FALSE),"")</f>
        <v/>
      </c>
      <c r="N42" s="76" t="str">
        <f>IFERROR(VLOOKUP(A42,Calculations!$D$6:$AI$136,18,FALSE),"")</f>
        <v/>
      </c>
      <c r="O42" s="58">
        <f>IFERROR(VLOOKUP(A42,Calculations!$D$6:$AI$136,27,FALSE),"")</f>
        <v>1</v>
      </c>
      <c r="P42" s="125">
        <f>IFERROR(VLOOKUP(A42,Calculations!$D$6:$AI$136,30,FALSE),"")</f>
        <v>34</v>
      </c>
    </row>
    <row r="43" spans="1:16" ht="15" x14ac:dyDescent="0.3">
      <c r="A43" s="36">
        <v>41</v>
      </c>
      <c r="B43" s="35" t="str">
        <f>IFERROR(VLOOKUP(A43,Calculations!$D$6:$AI$136,3,FALSE),"")</f>
        <v>Brian Holland</v>
      </c>
      <c r="C43" s="75">
        <f>IFERROR(VLOOKUP(A43,Calculations!$D$6:$AI$136,4,FALSE),"")</f>
        <v>60627</v>
      </c>
      <c r="D43" s="75" t="str">
        <f>IFERROR(VLOOKUP(A43,Calculations!$D$6:$AI$136,5,FALSE),"")</f>
        <v>U/G</v>
      </c>
      <c r="E43" s="75" t="str">
        <f>IFERROR(VLOOKUP(A43,Calculations!$D$6:$AI$136,8,FALSE),"")</f>
        <v>PCP</v>
      </c>
      <c r="F43" s="75" t="str">
        <f>IFERROR(VLOOKUP(A43,Calculations!$D$6:$AI$136,9,FALSE),"")</f>
        <v>Frobury</v>
      </c>
      <c r="G43" s="76">
        <f>IFERROR(VLOOKUP(A43,Calculations!$D$6:$AI$136,11,FALSE),"")</f>
        <v>0</v>
      </c>
      <c r="H43" s="76">
        <f>IFERROR(VLOOKUP(A43,Calculations!$D$6:$AI$136,12,FALSE),"")</f>
        <v>0</v>
      </c>
      <c r="I43" s="76">
        <f>IFERROR(VLOOKUP(A43,Calculations!$D$6:$AI$136,13,FALSE),"")</f>
        <v>0</v>
      </c>
      <c r="J43" s="76">
        <f>IFERROR(VLOOKUP(A43,Calculations!$D$6:$AI$136,14,FALSE),"")</f>
        <v>0</v>
      </c>
      <c r="K43" s="76">
        <f>IFERROR(VLOOKUP(A43,Calculations!$D$6:$AI$136,15,FALSE),"")</f>
        <v>0</v>
      </c>
      <c r="L43" s="76">
        <f>IFERROR(VLOOKUP(A43,Calculations!$D$6:$AI$136,16,FALSE),"")</f>
        <v>30</v>
      </c>
      <c r="M43" s="76">
        <f>IFERROR(VLOOKUP(A43,Calculations!$D$6:$AI$136,17,FALSE),"")</f>
        <v>0</v>
      </c>
      <c r="N43" s="76">
        <f>IFERROR(VLOOKUP(A43,Calculations!$D$6:$AI$136,18,FALSE),"")</f>
        <v>0</v>
      </c>
      <c r="O43" s="58">
        <f>IFERROR(VLOOKUP(A43,Calculations!$D$6:$AI$136,27,FALSE),"")</f>
        <v>1</v>
      </c>
      <c r="P43" s="125">
        <f>IFERROR(VLOOKUP(A43,Calculations!$D$6:$AI$136,30,FALSE),"")</f>
        <v>30</v>
      </c>
    </row>
    <row r="44" spans="1:16" ht="15" x14ac:dyDescent="0.3">
      <c r="A44" s="36">
        <v>42</v>
      </c>
      <c r="B44" s="35" t="str">
        <f>IFERROR(VLOOKUP(A44,Calculations!$D$6:$AI$136,3,FALSE),"")</f>
        <v>Trevor Parker</v>
      </c>
      <c r="C44" s="75" t="str">
        <f>IFERROR(VLOOKUP(A44,Calculations!$D$6:$AI$136,4,FALSE),"")</f>
        <v/>
      </c>
      <c r="D44" s="75" t="str">
        <f>IFERROR(VLOOKUP(A44,Calculations!$D$6:$AI$136,5,FALSE),"")</f>
        <v>U/G</v>
      </c>
      <c r="E44" s="75" t="str">
        <f>IFERROR(VLOOKUP(A44,Calculations!$D$6:$AI$136,8,FALSE),"")</f>
        <v>PCP</v>
      </c>
      <c r="F44" s="75" t="str">
        <f>IFERROR(VLOOKUP(A44,Calculations!$D$6:$AI$136,9,FALSE),"")</f>
        <v>Buccaneers</v>
      </c>
      <c r="G44" s="76" t="str">
        <f>IFERROR(VLOOKUP(A44,Calculations!$D$6:$AI$136,11,FALSE),"")</f>
        <v/>
      </c>
      <c r="H44" s="76" t="str">
        <f>IFERROR(VLOOKUP(A44,Calculations!$D$6:$AI$136,12,FALSE),"")</f>
        <v/>
      </c>
      <c r="I44" s="76">
        <f>IFERROR(VLOOKUP(A44,Calculations!$D$6:$AI$136,13,FALSE),"")</f>
        <v>29</v>
      </c>
      <c r="J44" s="76" t="str">
        <f>IFERROR(VLOOKUP(A44,Calculations!$D$6:$AI$136,14,FALSE),"")</f>
        <v/>
      </c>
      <c r="K44" s="76" t="str">
        <f>IFERROR(VLOOKUP(A44,Calculations!$D$6:$AI$136,15,FALSE),"")</f>
        <v/>
      </c>
      <c r="L44" s="76" t="str">
        <f>IFERROR(VLOOKUP(A44,Calculations!$D$6:$AI$136,16,FALSE),"")</f>
        <v/>
      </c>
      <c r="M44" s="76" t="str">
        <f>IFERROR(VLOOKUP(A44,Calculations!$D$6:$AI$136,17,FALSE),"")</f>
        <v/>
      </c>
      <c r="N44" s="76" t="str">
        <f>IFERROR(VLOOKUP(A44,Calculations!$D$6:$AI$136,18,FALSE),"")</f>
        <v/>
      </c>
      <c r="O44" s="58">
        <f>IFERROR(VLOOKUP(A44,Calculations!$D$6:$AI$136,27,FALSE),"")</f>
        <v>1</v>
      </c>
      <c r="P44" s="125">
        <f>IFERROR(VLOOKUP(A44,Calculations!$D$6:$AI$136,30,FALSE),"")</f>
        <v>29</v>
      </c>
    </row>
    <row r="45" spans="1:16" ht="15" x14ac:dyDescent="0.3">
      <c r="A45" s="36">
        <v>43</v>
      </c>
      <c r="B45" s="35" t="str">
        <f>IFERROR(VLOOKUP(A45,Calculations!$D$6:$AI$136,3,FALSE),"")</f>
        <v>Amanda Holland</v>
      </c>
      <c r="C45" s="75">
        <f>IFERROR(VLOOKUP(A45,Calculations!$D$6:$AI$136,4,FALSE),"")</f>
        <v>60633</v>
      </c>
      <c r="D45" s="75" t="str">
        <f>IFERROR(VLOOKUP(A45,Calculations!$D$6:$AI$136,5,FALSE),"")</f>
        <v>U/G</v>
      </c>
      <c r="E45" s="75" t="str">
        <f>IFERROR(VLOOKUP(A45,Calculations!$D$6:$AI$136,8,FALSE),"")</f>
        <v>PCP</v>
      </c>
      <c r="F45" s="75" t="str">
        <f>IFERROR(VLOOKUP(A45,Calculations!$D$6:$AI$136,9,FALSE),"")</f>
        <v>Frobury</v>
      </c>
      <c r="G45" s="76" t="str">
        <f>IFERROR(VLOOKUP(A45,Calculations!$D$6:$AI$136,11,FALSE),"")</f>
        <v/>
      </c>
      <c r="H45" s="76" t="str">
        <f>IFERROR(VLOOKUP(A45,Calculations!$D$6:$AI$136,12,FALSE),"")</f>
        <v/>
      </c>
      <c r="I45" s="76" t="str">
        <f>IFERROR(VLOOKUP(A45,Calculations!$D$6:$AI$136,13,FALSE),"")</f>
        <v/>
      </c>
      <c r="J45" s="76" t="str">
        <f>IFERROR(VLOOKUP(A45,Calculations!$D$6:$AI$136,14,FALSE),"")</f>
        <v/>
      </c>
      <c r="K45" s="76" t="str">
        <f>IFERROR(VLOOKUP(A45,Calculations!$D$6:$AI$136,15,FALSE),"")</f>
        <v/>
      </c>
      <c r="L45" s="76">
        <f>IFERROR(VLOOKUP(A45,Calculations!$D$6:$AI$136,16,FALSE),"")</f>
        <v>28</v>
      </c>
      <c r="M45" s="76" t="str">
        <f>IFERROR(VLOOKUP(A45,Calculations!$D$6:$AI$136,17,FALSE),"")</f>
        <v/>
      </c>
      <c r="N45" s="76" t="str">
        <f>IFERROR(VLOOKUP(A45,Calculations!$D$6:$AI$136,18,FALSE),"")</f>
        <v/>
      </c>
      <c r="O45" s="58">
        <f>IFERROR(VLOOKUP(A45,Calculations!$D$6:$AI$136,27,FALSE),"")</f>
        <v>1</v>
      </c>
      <c r="P45" s="125">
        <f>IFERROR(VLOOKUP(A45,Calculations!$D$6:$AI$136,30,FALSE),"")</f>
        <v>28</v>
      </c>
    </row>
    <row r="46" spans="1:16" ht="15" x14ac:dyDescent="0.3">
      <c r="A46" s="36">
        <v>44</v>
      </c>
      <c r="B46" s="35" t="str">
        <f>IFERROR(VLOOKUP(A46,Calculations!$D$6:$AI$136,3,FALSE),"")</f>
        <v>Peter Terry</v>
      </c>
      <c r="C46" s="75">
        <f>IFERROR(VLOOKUP(A46,Calculations!$D$6:$AI$136,4,FALSE),"")</f>
        <v>1346</v>
      </c>
      <c r="D46" s="75" t="str">
        <f>IFERROR(VLOOKUP(A46,Calculations!$D$6:$AI$136,5,FALSE),"")</f>
        <v>B</v>
      </c>
      <c r="E46" s="75" t="str">
        <f>IFERROR(VLOOKUP(A46,Calculations!$D$6:$AI$136,8,FALSE),"")</f>
        <v>PCP</v>
      </c>
      <c r="F46" s="75" t="str">
        <f>IFERROR(VLOOKUP(A46,Calculations!$D$6:$AI$136,9,FALSE),"")</f>
        <v>Newbury</v>
      </c>
      <c r="G46" s="76" t="str">
        <f>IFERROR(VLOOKUP(A46,Calculations!$D$6:$AI$136,11,FALSE),"")</f>
        <v/>
      </c>
      <c r="H46" s="76" t="str">
        <f>IFERROR(VLOOKUP(A46,Calculations!$D$6:$AI$136,12,FALSE),"")</f>
        <v/>
      </c>
      <c r="I46" s="76">
        <f>IFERROR(VLOOKUP(A46,Calculations!$D$6:$AI$136,13,FALSE),"")</f>
        <v>27</v>
      </c>
      <c r="J46" s="76" t="str">
        <f>IFERROR(VLOOKUP(A46,Calculations!$D$6:$AI$136,14,FALSE),"")</f>
        <v/>
      </c>
      <c r="K46" s="76" t="str">
        <f>IFERROR(VLOOKUP(A46,Calculations!$D$6:$AI$136,15,FALSE),"")</f>
        <v/>
      </c>
      <c r="L46" s="76" t="str">
        <f>IFERROR(VLOOKUP(A46,Calculations!$D$6:$AI$136,16,FALSE),"")</f>
        <v/>
      </c>
      <c r="M46" s="76" t="str">
        <f>IFERROR(VLOOKUP(A46,Calculations!$D$6:$AI$136,17,FALSE),"")</f>
        <v/>
      </c>
      <c r="N46" s="76" t="str">
        <f>IFERROR(VLOOKUP(A46,Calculations!$D$6:$AI$136,18,FALSE),"")</f>
        <v/>
      </c>
      <c r="O46" s="58">
        <f>IFERROR(VLOOKUP(A46,Calculations!$D$6:$AI$136,27,FALSE),"")</f>
        <v>1</v>
      </c>
      <c r="P46" s="125">
        <f>IFERROR(VLOOKUP(A46,Calculations!$D$6:$AI$136,30,FALSE),"")</f>
        <v>27</v>
      </c>
    </row>
    <row r="47" spans="1:16" ht="15" x14ac:dyDescent="0.3">
      <c r="A47" s="36">
        <v>45</v>
      </c>
      <c r="B47" s="35" t="str">
        <f>IFERROR(VLOOKUP(A47,Calculations!$D$6:$AI$136,3,FALSE),"")</f>
        <v>Dean Mason</v>
      </c>
      <c r="C47" s="75">
        <f>IFERROR(VLOOKUP(A47,Calculations!$D$6:$AI$136,4,FALSE),"")</f>
        <v>1884</v>
      </c>
      <c r="D47" s="75" t="str">
        <f>IFERROR(VLOOKUP(A47,Calculations!$D$6:$AI$136,5,FALSE),"")</f>
        <v>B</v>
      </c>
      <c r="E47" s="75" t="str">
        <f>IFERROR(VLOOKUP(A47,Calculations!$D$6:$AI$136,8,FALSE),"")</f>
        <v>PCP</v>
      </c>
      <c r="F47" s="75" t="str">
        <f>IFERROR(VLOOKUP(A47,Calculations!$D$6:$AI$136,9,FALSE),"")</f>
        <v>Buccaneers</v>
      </c>
      <c r="G47" s="76">
        <f>IFERROR(VLOOKUP(A47,Calculations!$D$6:$AI$136,11,FALSE),"")</f>
        <v>23</v>
      </c>
      <c r="H47" s="76" t="str">
        <f>IFERROR(VLOOKUP(A47,Calculations!$D$6:$AI$136,12,FALSE),"")</f>
        <v/>
      </c>
      <c r="I47" s="76" t="str">
        <f>IFERROR(VLOOKUP(A47,Calculations!$D$6:$AI$136,13,FALSE),"")</f>
        <v/>
      </c>
      <c r="J47" s="76" t="str">
        <f>IFERROR(VLOOKUP(A47,Calculations!$D$6:$AI$136,14,FALSE),"")</f>
        <v/>
      </c>
      <c r="K47" s="76" t="str">
        <f>IFERROR(VLOOKUP(A47,Calculations!$D$6:$AI$136,15,FALSE),"")</f>
        <v/>
      </c>
      <c r="L47" s="76" t="str">
        <f>IFERROR(VLOOKUP(A47,Calculations!$D$6:$AI$136,16,FALSE),"")</f>
        <v/>
      </c>
      <c r="M47" s="76" t="str">
        <f>IFERROR(VLOOKUP(A47,Calculations!$D$6:$AI$136,17,FALSE),"")</f>
        <v/>
      </c>
      <c r="N47" s="76" t="str">
        <f>IFERROR(VLOOKUP(A47,Calculations!$D$6:$AI$136,18,FALSE),"")</f>
        <v/>
      </c>
      <c r="O47" s="58">
        <f>IFERROR(VLOOKUP(A47,Calculations!$D$6:$AI$136,27,FALSE),"")</f>
        <v>1</v>
      </c>
      <c r="P47" s="125">
        <f>IFERROR(VLOOKUP(A47,Calculations!$D$6:$AI$136,30,FALSE),"")</f>
        <v>23</v>
      </c>
    </row>
    <row r="48" spans="1:16" ht="15" x14ac:dyDescent="0.3">
      <c r="A48" s="36">
        <v>46</v>
      </c>
      <c r="B48" s="35" t="str">
        <f>IFERROR(VLOOKUP(A48,Calculations!$D$6:$AI$136,3,FALSE),"")</f>
        <v>Lee Jasper</v>
      </c>
      <c r="C48" s="75">
        <f>IFERROR(VLOOKUP(A48,Calculations!$D$6:$AI$136,4,FALSE),"")</f>
        <v>296</v>
      </c>
      <c r="D48" s="75" t="str">
        <f>IFERROR(VLOOKUP(A48,Calculations!$D$6:$AI$136,5,FALSE),"")</f>
        <v>U/G</v>
      </c>
      <c r="E48" s="75" t="str">
        <f>IFERROR(VLOOKUP(A48,Calculations!$D$6:$AI$136,8,FALSE),"")</f>
        <v>PCP</v>
      </c>
      <c r="F48" s="75" t="str">
        <f>IFERROR(VLOOKUP(A48,Calculations!$D$6:$AI$136,9,FALSE),"")</f>
        <v>Bisley</v>
      </c>
      <c r="G48" s="76" t="str">
        <f>IFERROR(VLOOKUP(A48,Calculations!$D$6:$AI$136,11,FALSE),"")</f>
        <v/>
      </c>
      <c r="H48" s="76" t="str">
        <f>IFERROR(VLOOKUP(A48,Calculations!$D$6:$AI$136,12,FALSE),"")</f>
        <v/>
      </c>
      <c r="I48" s="76" t="str">
        <f>IFERROR(VLOOKUP(A48,Calculations!$D$6:$AI$136,13,FALSE),"")</f>
        <v/>
      </c>
      <c r="J48" s="76" t="str">
        <f>IFERROR(VLOOKUP(A48,Calculations!$D$6:$AI$136,14,FALSE),"")</f>
        <v/>
      </c>
      <c r="K48" s="76" t="str">
        <f>IFERROR(VLOOKUP(A48,Calculations!$D$6:$AI$136,15,FALSE),"")</f>
        <v/>
      </c>
      <c r="L48" s="76">
        <f>IFERROR(VLOOKUP(A48,Calculations!$D$6:$AI$136,16,FALSE),"")</f>
        <v>23</v>
      </c>
      <c r="M48" s="76" t="str">
        <f>IFERROR(VLOOKUP(A48,Calculations!$D$6:$AI$136,17,FALSE),"")</f>
        <v/>
      </c>
      <c r="N48" s="76" t="str">
        <f>IFERROR(VLOOKUP(A48,Calculations!$D$6:$AI$136,18,FALSE),"")</f>
        <v/>
      </c>
      <c r="O48" s="58">
        <f>IFERROR(VLOOKUP(A48,Calculations!$D$6:$AI$136,27,FALSE),"")</f>
        <v>1</v>
      </c>
      <c r="P48" s="125">
        <f>IFERROR(VLOOKUP(A48,Calculations!$D$6:$AI$136,30,FALSE),"")</f>
        <v>23</v>
      </c>
    </row>
    <row r="49" spans="1:16" ht="15" x14ac:dyDescent="0.3">
      <c r="A49" s="36">
        <v>47</v>
      </c>
      <c r="B49" s="35" t="str">
        <f>IFERROR(VLOOKUP(A49,Calculations!$D$6:$AI$136,3,FALSE),"")</f>
        <v>Jonathan Hawes</v>
      </c>
      <c r="C49" s="75">
        <f>IFERROR(VLOOKUP(A49,Calculations!$D$6:$AI$136,4,FALSE),"")</f>
        <v>449</v>
      </c>
      <c r="D49" s="75" t="str">
        <f>IFERROR(VLOOKUP(A49,Calculations!$D$6:$AI$136,5,FALSE),"")</f>
        <v>B</v>
      </c>
      <c r="E49" s="75" t="str">
        <f>IFERROR(VLOOKUP(A49,Calculations!$D$6:$AI$136,8,FALSE),"")</f>
        <v>PCP</v>
      </c>
      <c r="F49" s="75" t="str">
        <f>IFERROR(VLOOKUP(A49,Calculations!$D$6:$AI$136,9,FALSE),"")</f>
        <v>Newbury</v>
      </c>
      <c r="G49" s="76" t="str">
        <f>IFERROR(VLOOKUP(A49,Calculations!$D$6:$AI$136,11,FALSE),"")</f>
        <v/>
      </c>
      <c r="H49" s="76" t="str">
        <f>IFERROR(VLOOKUP(A49,Calculations!$D$6:$AI$136,12,FALSE),"")</f>
        <v/>
      </c>
      <c r="I49" s="76">
        <f>IFERROR(VLOOKUP(A49,Calculations!$D$6:$AI$136,13,FALSE),"")</f>
        <v>21</v>
      </c>
      <c r="J49" s="76" t="str">
        <f>IFERROR(VLOOKUP(A49,Calculations!$D$6:$AI$136,14,FALSE),"")</f>
        <v/>
      </c>
      <c r="K49" s="76" t="str">
        <f>IFERROR(VLOOKUP(A49,Calculations!$D$6:$AI$136,15,FALSE),"")</f>
        <v/>
      </c>
      <c r="L49" s="76" t="str">
        <f>IFERROR(VLOOKUP(A49,Calculations!$D$6:$AI$136,16,FALSE),"")</f>
        <v/>
      </c>
      <c r="M49" s="76" t="str">
        <f>IFERROR(VLOOKUP(A49,Calculations!$D$6:$AI$136,17,FALSE),"")</f>
        <v/>
      </c>
      <c r="N49" s="76" t="str">
        <f>IFERROR(VLOOKUP(A49,Calculations!$D$6:$AI$136,18,FALSE),"")</f>
        <v/>
      </c>
      <c r="O49" s="58">
        <f>IFERROR(VLOOKUP(A49,Calculations!$D$6:$AI$136,27,FALSE),"")</f>
        <v>1</v>
      </c>
      <c r="P49" s="125">
        <f>IFERROR(VLOOKUP(A49,Calculations!$D$6:$AI$136,30,FALSE),"")</f>
        <v>21</v>
      </c>
    </row>
    <row r="50" spans="1:16" ht="15" x14ac:dyDescent="0.3">
      <c r="A50" s="36">
        <v>48</v>
      </c>
      <c r="B50" s="35" t="str">
        <f>IFERROR(VLOOKUP(A50,Calculations!$D$6:$AI$136,3,FALSE),"")</f>
        <v>Josh Wood</v>
      </c>
      <c r="C50" s="75">
        <f>IFERROR(VLOOKUP(A50,Calculations!$D$6:$AI$136,4,FALSE),"")</f>
        <v>1904</v>
      </c>
      <c r="D50" s="75" t="str">
        <f>IFERROR(VLOOKUP(A50,Calculations!$D$6:$AI$136,5,FALSE),"")</f>
        <v>C</v>
      </c>
      <c r="E50" s="75" t="str">
        <f>IFERROR(VLOOKUP(A50,Calculations!$D$6:$AI$136,8,FALSE),"")</f>
        <v>PCP</v>
      </c>
      <c r="F50" s="75" t="str">
        <f>IFERROR(VLOOKUP(A50,Calculations!$D$6:$AI$136,9,FALSE),"")</f>
        <v>Meon</v>
      </c>
      <c r="G50" s="76">
        <f>IFERROR(VLOOKUP(A50,Calculations!$D$6:$AI$136,11,FALSE),"")</f>
        <v>18</v>
      </c>
      <c r="H50" s="76" t="str">
        <f>IFERROR(VLOOKUP(A50,Calculations!$D$6:$AI$136,12,FALSE),"")</f>
        <v/>
      </c>
      <c r="I50" s="76" t="str">
        <f>IFERROR(VLOOKUP(A50,Calculations!$D$6:$AI$136,13,FALSE),"")</f>
        <v/>
      </c>
      <c r="J50" s="76" t="str">
        <f>IFERROR(VLOOKUP(A50,Calculations!$D$6:$AI$136,14,FALSE),"")</f>
        <v/>
      </c>
      <c r="K50" s="76" t="str">
        <f>IFERROR(VLOOKUP(A50,Calculations!$D$6:$AI$136,15,FALSE),"")</f>
        <v/>
      </c>
      <c r="L50" s="76" t="str">
        <f>IFERROR(VLOOKUP(A50,Calculations!$D$6:$AI$136,16,FALSE),"")</f>
        <v/>
      </c>
      <c r="M50" s="76" t="str">
        <f>IFERROR(VLOOKUP(A50,Calculations!$D$6:$AI$136,17,FALSE),"")</f>
        <v/>
      </c>
      <c r="N50" s="76" t="str">
        <f>IFERROR(VLOOKUP(A50,Calculations!$D$6:$AI$136,18,FALSE),"")</f>
        <v/>
      </c>
      <c r="O50" s="58">
        <f>IFERROR(VLOOKUP(A50,Calculations!$D$6:$AI$136,27,FALSE),"")</f>
        <v>1</v>
      </c>
      <c r="P50" s="125">
        <f>IFERROR(VLOOKUP(A50,Calculations!$D$6:$AI$136,30,FALSE),"")</f>
        <v>18</v>
      </c>
    </row>
    <row r="51" spans="1:16" ht="15" x14ac:dyDescent="0.3">
      <c r="A51" s="36">
        <v>49</v>
      </c>
      <c r="B51" s="35" t="str">
        <f>IFERROR(VLOOKUP(A51,Calculations!$D$6:$AI$136,3,FALSE),"")</f>
        <v>Gordon Bishop</v>
      </c>
      <c r="C51" s="75">
        <f>IFERROR(VLOOKUP(A51,Calculations!$D$6:$AI$136,4,FALSE),"")</f>
        <v>1827</v>
      </c>
      <c r="D51" s="75" t="str">
        <f>IFERROR(VLOOKUP(A51,Calculations!$D$6:$AI$136,5,FALSE),"")</f>
        <v>U/G</v>
      </c>
      <c r="E51" s="75" t="str">
        <f>IFERROR(VLOOKUP(A51,Calculations!$D$6:$AI$136,8,FALSE),"")</f>
        <v>PCP</v>
      </c>
      <c r="F51" s="75" t="str">
        <f>IFERROR(VLOOKUP(A51,Calculations!$D$6:$AI$136,9,FALSE),"")</f>
        <v>Newbury</v>
      </c>
      <c r="G51" s="76" t="str">
        <f>IFERROR(VLOOKUP(A51,Calculations!$D$6:$AI$136,11,FALSE),"")</f>
        <v/>
      </c>
      <c r="H51" s="76" t="str">
        <f>IFERROR(VLOOKUP(A51,Calculations!$D$6:$AI$136,12,FALSE),"")</f>
        <v/>
      </c>
      <c r="I51" s="76" t="str">
        <f>IFERROR(VLOOKUP(A51,Calculations!$D$6:$AI$136,13,FALSE),"")</f>
        <v/>
      </c>
      <c r="J51" s="76">
        <f>IFERROR(VLOOKUP(A51,Calculations!$D$6:$AI$136,14,FALSE),"")</f>
        <v>15</v>
      </c>
      <c r="K51" s="76" t="str">
        <f>IFERROR(VLOOKUP(A51,Calculations!$D$6:$AI$136,15,FALSE),"")</f>
        <v/>
      </c>
      <c r="L51" s="76" t="str">
        <f>IFERROR(VLOOKUP(A51,Calculations!$D$6:$AI$136,16,FALSE),"")</f>
        <v/>
      </c>
      <c r="M51" s="76" t="str">
        <f>IFERROR(VLOOKUP(A51,Calculations!$D$6:$AI$136,17,FALSE),"")</f>
        <v/>
      </c>
      <c r="N51" s="76" t="str">
        <f>IFERROR(VLOOKUP(A51,Calculations!$D$6:$AI$136,18,FALSE),"")</f>
        <v/>
      </c>
      <c r="O51" s="58">
        <f>IFERROR(VLOOKUP(A51,Calculations!$D$6:$AI$136,27,FALSE),"")</f>
        <v>1</v>
      </c>
      <c r="P51" s="125">
        <f>IFERROR(VLOOKUP(A51,Calculations!$D$6:$AI$136,30,FALSE),"")</f>
        <v>15</v>
      </c>
    </row>
    <row r="52" spans="1:16" ht="15" x14ac:dyDescent="0.3">
      <c r="A52" s="36">
        <v>50</v>
      </c>
      <c r="B52" s="35" t="str">
        <f>IFERROR(VLOOKUP(A52,Calculations!$D$6:$AI$136,3,FALSE),"")</f>
        <v/>
      </c>
      <c r="C52" s="75" t="str">
        <f>IFERROR(VLOOKUP(A52,Calculations!$D$6:$AI$136,4,FALSE),"")</f>
        <v/>
      </c>
      <c r="D52" s="75" t="str">
        <f>IFERROR(VLOOKUP(A52,Calculations!$D$6:$AI$136,5,FALSE),"")</f>
        <v/>
      </c>
      <c r="E52" s="75" t="str">
        <f>IFERROR(VLOOKUP(A52,Calculations!$D$6:$AI$136,8,FALSE),"")</f>
        <v/>
      </c>
      <c r="F52" s="75" t="str">
        <f>IFERROR(VLOOKUP(A52,Calculations!$D$6:$AI$136,9,FALSE),"")</f>
        <v/>
      </c>
      <c r="G52" s="76" t="str">
        <f>IFERROR(VLOOKUP(A52,Calculations!$D$6:$AI$136,11,FALSE),"")</f>
        <v/>
      </c>
      <c r="H52" s="76" t="str">
        <f>IFERROR(VLOOKUP(A52,Calculations!$D$6:$AI$136,12,FALSE),"")</f>
        <v/>
      </c>
      <c r="I52" s="76" t="str">
        <f>IFERROR(VLOOKUP(A52,Calculations!$D$6:$AI$136,13,FALSE),"")</f>
        <v/>
      </c>
      <c r="J52" s="76" t="str">
        <f>IFERROR(VLOOKUP(A52,Calculations!$D$6:$AI$136,14,FALSE),"")</f>
        <v/>
      </c>
      <c r="K52" s="76" t="str">
        <f>IFERROR(VLOOKUP(A52,Calculations!$D$6:$AI$136,15,FALSE),"")</f>
        <v/>
      </c>
      <c r="L52" s="76" t="str">
        <f>IFERROR(VLOOKUP(A52,Calculations!$D$6:$AI$136,16,FALSE),"")</f>
        <v/>
      </c>
      <c r="M52" s="76" t="str">
        <f>IFERROR(VLOOKUP(A52,Calculations!$D$6:$AI$136,17,FALSE),"")</f>
        <v/>
      </c>
      <c r="N52" s="76" t="str">
        <f>IFERROR(VLOOKUP(A52,Calculations!$D$6:$AI$136,18,FALSE),"")</f>
        <v/>
      </c>
      <c r="O52" s="58" t="str">
        <f>IFERROR(VLOOKUP(A52,Calculations!$D$6:$AI$136,27,FALSE),"")</f>
        <v/>
      </c>
      <c r="P52" s="125" t="str">
        <f>IFERROR(VLOOKUP(A52,Calculations!$D$6:$AI$136,30,FALSE),"")</f>
        <v/>
      </c>
    </row>
    <row r="53" spans="1:16" ht="15" x14ac:dyDescent="0.3">
      <c r="A53" s="36">
        <v>51</v>
      </c>
      <c r="B53" s="35" t="str">
        <f>IFERROR(VLOOKUP(A53,Calculations!$D$6:$AI$136,3,FALSE),"")</f>
        <v/>
      </c>
      <c r="C53" s="75" t="str">
        <f>IFERROR(VLOOKUP(A53,Calculations!$D$6:$AI$136,4,FALSE),"")</f>
        <v/>
      </c>
      <c r="D53" s="75" t="str">
        <f>IFERROR(VLOOKUP(A53,Calculations!$D$6:$AI$136,5,FALSE),"")</f>
        <v/>
      </c>
      <c r="E53" s="75" t="str">
        <f>IFERROR(VLOOKUP(A53,Calculations!$D$6:$AI$136,8,FALSE),"")</f>
        <v/>
      </c>
      <c r="F53" s="75" t="str">
        <f>IFERROR(VLOOKUP(A53,Calculations!$D$6:$AI$136,9,FALSE),"")</f>
        <v/>
      </c>
      <c r="G53" s="76" t="str">
        <f>IFERROR(VLOOKUP(A53,Calculations!$D$6:$AI$136,11,FALSE),"")</f>
        <v/>
      </c>
      <c r="H53" s="76" t="str">
        <f>IFERROR(VLOOKUP(A53,Calculations!$D$6:$AI$136,12,FALSE),"")</f>
        <v/>
      </c>
      <c r="I53" s="76" t="str">
        <f>IFERROR(VLOOKUP(A53,Calculations!$D$6:$AI$136,13,FALSE),"")</f>
        <v/>
      </c>
      <c r="J53" s="76" t="str">
        <f>IFERROR(VLOOKUP(A53,Calculations!$D$6:$AI$136,14,FALSE),"")</f>
        <v/>
      </c>
      <c r="K53" s="76" t="str">
        <f>IFERROR(VLOOKUP(A53,Calculations!$D$6:$AI$136,15,FALSE),"")</f>
        <v/>
      </c>
      <c r="L53" s="76" t="str">
        <f>IFERROR(VLOOKUP(A53,Calculations!$D$6:$AI$136,16,FALSE),"")</f>
        <v/>
      </c>
      <c r="M53" s="76" t="str">
        <f>IFERROR(VLOOKUP(A53,Calculations!$D$6:$AI$136,17,FALSE),"")</f>
        <v/>
      </c>
      <c r="N53" s="76" t="str">
        <f>IFERROR(VLOOKUP(A53,Calculations!$D$6:$AI$136,18,FALSE),"")</f>
        <v/>
      </c>
      <c r="O53" s="58" t="str">
        <f>IFERROR(VLOOKUP(A53,Calculations!$D$6:$AI$136,27,FALSE),"")</f>
        <v/>
      </c>
      <c r="P53" s="125" t="str">
        <f>IFERROR(VLOOKUP(A53,Calculations!$D$6:$AI$136,30,FALSE),"")</f>
        <v/>
      </c>
    </row>
    <row r="54" spans="1:16" ht="15" x14ac:dyDescent="0.3">
      <c r="A54" s="36">
        <v>52</v>
      </c>
      <c r="B54" s="35" t="str">
        <f>IFERROR(VLOOKUP(A54,Calculations!$D$6:$AI$136,3,FALSE),"")</f>
        <v/>
      </c>
      <c r="C54" s="75" t="str">
        <f>IFERROR(VLOOKUP(A54,Calculations!$D$6:$AI$136,4,FALSE),"")</f>
        <v/>
      </c>
      <c r="D54" s="75" t="str">
        <f>IFERROR(VLOOKUP(A54,Calculations!$D$6:$AI$136,5,FALSE),"")</f>
        <v/>
      </c>
      <c r="E54" s="75" t="str">
        <f>IFERROR(VLOOKUP(A54,Calculations!$D$6:$AI$136,8,FALSE),"")</f>
        <v/>
      </c>
      <c r="F54" s="75" t="str">
        <f>IFERROR(VLOOKUP(A54,Calculations!$D$6:$AI$136,9,FALSE),"")</f>
        <v/>
      </c>
      <c r="G54" s="76" t="str">
        <f>IFERROR(VLOOKUP(A54,Calculations!$D$6:$AI$136,11,FALSE),"")</f>
        <v/>
      </c>
      <c r="H54" s="76" t="str">
        <f>IFERROR(VLOOKUP(A54,Calculations!$D$6:$AI$136,12,FALSE),"")</f>
        <v/>
      </c>
      <c r="I54" s="76" t="str">
        <f>IFERROR(VLOOKUP(A54,Calculations!$D$6:$AI$136,13,FALSE),"")</f>
        <v/>
      </c>
      <c r="J54" s="76" t="str">
        <f>IFERROR(VLOOKUP(A54,Calculations!$D$6:$AI$136,14,FALSE),"")</f>
        <v/>
      </c>
      <c r="K54" s="76" t="str">
        <f>IFERROR(VLOOKUP(A54,Calculations!$D$6:$AI$136,15,FALSE),"")</f>
        <v/>
      </c>
      <c r="L54" s="76" t="str">
        <f>IFERROR(VLOOKUP(A54,Calculations!$D$6:$AI$136,16,FALSE),"")</f>
        <v/>
      </c>
      <c r="M54" s="76" t="str">
        <f>IFERROR(VLOOKUP(A54,Calculations!$D$6:$AI$136,17,FALSE),"")</f>
        <v/>
      </c>
      <c r="N54" s="76" t="str">
        <f>IFERROR(VLOOKUP(A54,Calculations!$D$6:$AI$136,18,FALSE),"")</f>
        <v/>
      </c>
      <c r="O54" s="58" t="str">
        <f>IFERROR(VLOOKUP(A54,Calculations!$D$6:$AI$136,27,FALSE),"")</f>
        <v/>
      </c>
      <c r="P54" s="125" t="str">
        <f>IFERROR(VLOOKUP(A54,Calculations!$D$6:$AI$136,30,FALSE),"")</f>
        <v/>
      </c>
    </row>
    <row r="55" spans="1:16" ht="15" x14ac:dyDescent="0.3">
      <c r="A55" s="36">
        <v>53</v>
      </c>
      <c r="B55" s="35" t="str">
        <f>IFERROR(VLOOKUP(A55,Calculations!$D$6:$AI$136,3,FALSE),"")</f>
        <v/>
      </c>
      <c r="C55" s="75" t="str">
        <f>IFERROR(VLOOKUP(A55,Calculations!$D$6:$AI$136,4,FALSE),"")</f>
        <v/>
      </c>
      <c r="D55" s="75" t="str">
        <f>IFERROR(VLOOKUP(A55,Calculations!$D$6:$AI$136,5,FALSE),"")</f>
        <v/>
      </c>
      <c r="E55" s="75" t="str">
        <f>IFERROR(VLOOKUP(A55,Calculations!$D$6:$AI$136,8,FALSE),"")</f>
        <v/>
      </c>
      <c r="F55" s="75" t="str">
        <f>IFERROR(VLOOKUP(A55,Calculations!$D$6:$AI$136,9,FALSE),"")</f>
        <v/>
      </c>
      <c r="G55" s="76" t="str">
        <f>IFERROR(VLOOKUP(A55,Calculations!$D$6:$AI$136,11,FALSE),"")</f>
        <v/>
      </c>
      <c r="H55" s="76" t="str">
        <f>IFERROR(VLOOKUP(A55,Calculations!$D$6:$AI$136,12,FALSE),"")</f>
        <v/>
      </c>
      <c r="I55" s="76" t="str">
        <f>IFERROR(VLOOKUP(A55,Calculations!$D$6:$AI$136,13,FALSE),"")</f>
        <v/>
      </c>
      <c r="J55" s="76" t="str">
        <f>IFERROR(VLOOKUP(A55,Calculations!$D$6:$AI$136,14,FALSE),"")</f>
        <v/>
      </c>
      <c r="K55" s="76" t="str">
        <f>IFERROR(VLOOKUP(A55,Calculations!$D$6:$AI$136,15,FALSE),"")</f>
        <v/>
      </c>
      <c r="L55" s="76" t="str">
        <f>IFERROR(VLOOKUP(A55,Calculations!$D$6:$AI$136,16,FALSE),"")</f>
        <v/>
      </c>
      <c r="M55" s="76" t="str">
        <f>IFERROR(VLOOKUP(A55,Calculations!$D$6:$AI$136,17,FALSE),"")</f>
        <v/>
      </c>
      <c r="N55" s="76" t="str">
        <f>IFERROR(VLOOKUP(A55,Calculations!$D$6:$AI$136,18,FALSE),"")</f>
        <v/>
      </c>
      <c r="O55" s="58" t="str">
        <f>IFERROR(VLOOKUP(A55,Calculations!$D$6:$AI$136,27,FALSE),"")</f>
        <v/>
      </c>
      <c r="P55" s="125" t="str">
        <f>IFERROR(VLOOKUP(A55,Calculations!$D$6:$AI$136,30,FALSE),"")</f>
        <v/>
      </c>
    </row>
    <row r="56" spans="1:16" ht="15" x14ac:dyDescent="0.3">
      <c r="A56" s="36">
        <v>54</v>
      </c>
      <c r="B56" s="35" t="str">
        <f>IFERROR(VLOOKUP(A56,Calculations!$D$6:$AI$136,3,FALSE),"")</f>
        <v/>
      </c>
      <c r="C56" s="75" t="str">
        <f>IFERROR(VLOOKUP(A56,Calculations!$D$6:$AI$136,4,FALSE),"")</f>
        <v/>
      </c>
      <c r="D56" s="75" t="str">
        <f>IFERROR(VLOOKUP(A56,Calculations!$D$6:$AI$136,5,FALSE),"")</f>
        <v/>
      </c>
      <c r="E56" s="75" t="str">
        <f>IFERROR(VLOOKUP(A56,Calculations!$D$6:$AI$136,8,FALSE),"")</f>
        <v/>
      </c>
      <c r="F56" s="75" t="str">
        <f>IFERROR(VLOOKUP(A56,Calculations!$D$6:$AI$136,9,FALSE),"")</f>
        <v/>
      </c>
      <c r="G56" s="76" t="str">
        <f>IFERROR(VLOOKUP(A56,Calculations!$D$6:$AI$136,11,FALSE),"")</f>
        <v/>
      </c>
      <c r="H56" s="76" t="str">
        <f>IFERROR(VLOOKUP(A56,Calculations!$D$6:$AI$136,12,FALSE),"")</f>
        <v/>
      </c>
      <c r="I56" s="76" t="str">
        <f>IFERROR(VLOOKUP(A56,Calculations!$D$6:$AI$136,13,FALSE),"")</f>
        <v/>
      </c>
      <c r="J56" s="76" t="str">
        <f>IFERROR(VLOOKUP(A56,Calculations!$D$6:$AI$136,14,FALSE),"")</f>
        <v/>
      </c>
      <c r="K56" s="76" t="str">
        <f>IFERROR(VLOOKUP(A56,Calculations!$D$6:$AI$136,15,FALSE),"")</f>
        <v/>
      </c>
      <c r="L56" s="76" t="str">
        <f>IFERROR(VLOOKUP(A56,Calculations!$D$6:$AI$136,16,FALSE),"")</f>
        <v/>
      </c>
      <c r="M56" s="76" t="str">
        <f>IFERROR(VLOOKUP(A56,Calculations!$D$6:$AI$136,17,FALSE),"")</f>
        <v/>
      </c>
      <c r="N56" s="76" t="str">
        <f>IFERROR(VLOOKUP(A56,Calculations!$D$6:$AI$136,18,FALSE),"")</f>
        <v/>
      </c>
      <c r="O56" s="58" t="str">
        <f>IFERROR(VLOOKUP(A56,Calculations!$D$6:$AI$136,27,FALSE),"")</f>
        <v/>
      </c>
      <c r="P56" s="125" t="str">
        <f>IFERROR(VLOOKUP(A56,Calculations!$D$6:$AI$136,30,FALSE),"")</f>
        <v/>
      </c>
    </row>
    <row r="57" spans="1:16" ht="15" x14ac:dyDescent="0.3">
      <c r="A57" s="36">
        <v>55</v>
      </c>
      <c r="B57" s="35" t="str">
        <f>IFERROR(VLOOKUP(A57,Calculations!$D$6:$AI$136,3,FALSE),"")</f>
        <v/>
      </c>
      <c r="C57" s="75" t="str">
        <f>IFERROR(VLOOKUP(A57,Calculations!$D$6:$AI$136,4,FALSE),"")</f>
        <v/>
      </c>
      <c r="D57" s="75" t="str">
        <f>IFERROR(VLOOKUP(A57,Calculations!$D$6:$AI$136,5,FALSE),"")</f>
        <v/>
      </c>
      <c r="E57" s="75" t="str">
        <f>IFERROR(VLOOKUP(A57,Calculations!$D$6:$AI$136,8,FALSE),"")</f>
        <v/>
      </c>
      <c r="F57" s="75" t="str">
        <f>IFERROR(VLOOKUP(A57,Calculations!$D$6:$AI$136,9,FALSE),"")</f>
        <v/>
      </c>
      <c r="G57" s="76" t="str">
        <f>IFERROR(VLOOKUP(A57,Calculations!$D$6:$AI$136,11,FALSE),"")</f>
        <v/>
      </c>
      <c r="H57" s="76" t="str">
        <f>IFERROR(VLOOKUP(A57,Calculations!$D$6:$AI$136,12,FALSE),"")</f>
        <v/>
      </c>
      <c r="I57" s="76" t="str">
        <f>IFERROR(VLOOKUP(A57,Calculations!$D$6:$AI$136,13,FALSE),"")</f>
        <v/>
      </c>
      <c r="J57" s="76" t="str">
        <f>IFERROR(VLOOKUP(A57,Calculations!$D$6:$AI$136,14,FALSE),"")</f>
        <v/>
      </c>
      <c r="K57" s="76" t="str">
        <f>IFERROR(VLOOKUP(A57,Calculations!$D$6:$AI$136,15,FALSE),"")</f>
        <v/>
      </c>
      <c r="L57" s="76" t="str">
        <f>IFERROR(VLOOKUP(A57,Calculations!$D$6:$AI$136,16,FALSE),"")</f>
        <v/>
      </c>
      <c r="M57" s="76" t="str">
        <f>IFERROR(VLOOKUP(A57,Calculations!$D$6:$AI$136,17,FALSE),"")</f>
        <v/>
      </c>
      <c r="N57" s="76" t="str">
        <f>IFERROR(VLOOKUP(A57,Calculations!$D$6:$AI$136,18,FALSE),"")</f>
        <v/>
      </c>
      <c r="O57" s="58" t="str">
        <f>IFERROR(VLOOKUP(A57,Calculations!$D$6:$AI$136,27,FALSE),"")</f>
        <v/>
      </c>
      <c r="P57" s="125" t="str">
        <f>IFERROR(VLOOKUP(A57,Calculations!$D$6:$AI$136,30,FALSE),"")</f>
        <v/>
      </c>
    </row>
    <row r="58" spans="1:16" ht="15" x14ac:dyDescent="0.3">
      <c r="A58" s="36">
        <v>56</v>
      </c>
      <c r="B58" s="35" t="str">
        <f>IFERROR(VLOOKUP(A58,Calculations!$D$6:$AI$136,3,FALSE),"")</f>
        <v/>
      </c>
      <c r="C58" s="75" t="str">
        <f>IFERROR(VLOOKUP(A58,Calculations!$D$6:$AI$136,4,FALSE),"")</f>
        <v/>
      </c>
      <c r="D58" s="75" t="str">
        <f>IFERROR(VLOOKUP(A58,Calculations!$D$6:$AI$136,5,FALSE),"")</f>
        <v/>
      </c>
      <c r="E58" s="75" t="str">
        <f>IFERROR(VLOOKUP(A58,Calculations!$D$6:$AI$136,8,FALSE),"")</f>
        <v/>
      </c>
      <c r="F58" s="75" t="str">
        <f>IFERROR(VLOOKUP(A58,Calculations!$D$6:$AI$136,9,FALSE),"")</f>
        <v/>
      </c>
      <c r="G58" s="76" t="str">
        <f>IFERROR(VLOOKUP(A58,Calculations!$D$6:$AI$136,11,FALSE),"")</f>
        <v/>
      </c>
      <c r="H58" s="76" t="str">
        <f>IFERROR(VLOOKUP(A58,Calculations!$D$6:$AI$136,12,FALSE),"")</f>
        <v/>
      </c>
      <c r="I58" s="76" t="str">
        <f>IFERROR(VLOOKUP(A58,Calculations!$D$6:$AI$136,13,FALSE),"")</f>
        <v/>
      </c>
      <c r="J58" s="76" t="str">
        <f>IFERROR(VLOOKUP(A58,Calculations!$D$6:$AI$136,14,FALSE),"")</f>
        <v/>
      </c>
      <c r="K58" s="76" t="str">
        <f>IFERROR(VLOOKUP(A58,Calculations!$D$6:$AI$136,15,FALSE),"")</f>
        <v/>
      </c>
      <c r="L58" s="76" t="str">
        <f>IFERROR(VLOOKUP(A58,Calculations!$D$6:$AI$136,16,FALSE),"")</f>
        <v/>
      </c>
      <c r="M58" s="76" t="str">
        <f>IFERROR(VLOOKUP(A58,Calculations!$D$6:$AI$136,17,FALSE),"")</f>
        <v/>
      </c>
      <c r="N58" s="76" t="str">
        <f>IFERROR(VLOOKUP(A58,Calculations!$D$6:$AI$136,18,FALSE),"")</f>
        <v/>
      </c>
      <c r="O58" s="58" t="str">
        <f>IFERROR(VLOOKUP(A58,Calculations!$D$6:$AI$136,27,FALSE),"")</f>
        <v/>
      </c>
      <c r="P58" s="125" t="str">
        <f>IFERROR(VLOOKUP(A58,Calculations!$D$6:$AI$136,30,FALSE),"")</f>
        <v/>
      </c>
    </row>
    <row r="59" spans="1:16" ht="15" x14ac:dyDescent="0.3">
      <c r="A59" s="36">
        <v>57</v>
      </c>
      <c r="B59" s="35" t="str">
        <f>IFERROR(VLOOKUP(A59,Calculations!$D$6:$AI$136,3,FALSE),"")</f>
        <v/>
      </c>
      <c r="C59" s="75" t="str">
        <f>IFERROR(VLOOKUP(A59,Calculations!$D$6:$AI$136,4,FALSE),"")</f>
        <v/>
      </c>
      <c r="D59" s="75" t="str">
        <f>IFERROR(VLOOKUP(A59,Calculations!$D$6:$AI$136,5,FALSE),"")</f>
        <v/>
      </c>
      <c r="E59" s="75" t="str">
        <f>IFERROR(VLOOKUP(A59,Calculations!$D$6:$AI$136,8,FALSE),"")</f>
        <v/>
      </c>
      <c r="F59" s="75" t="str">
        <f>IFERROR(VLOOKUP(A59,Calculations!$D$6:$AI$136,9,FALSE),"")</f>
        <v/>
      </c>
      <c r="G59" s="76" t="str">
        <f>IFERROR(VLOOKUP(A59,Calculations!$D$6:$AI$136,11,FALSE),"")</f>
        <v/>
      </c>
      <c r="H59" s="76" t="str">
        <f>IFERROR(VLOOKUP(A59,Calculations!$D$6:$AI$136,12,FALSE),"")</f>
        <v/>
      </c>
      <c r="I59" s="76" t="str">
        <f>IFERROR(VLOOKUP(A59,Calculations!$D$6:$AI$136,13,FALSE),"")</f>
        <v/>
      </c>
      <c r="J59" s="76" t="str">
        <f>IFERROR(VLOOKUP(A59,Calculations!$D$6:$AI$136,14,FALSE),"")</f>
        <v/>
      </c>
      <c r="K59" s="76" t="str">
        <f>IFERROR(VLOOKUP(A59,Calculations!$D$6:$AI$136,15,FALSE),"")</f>
        <v/>
      </c>
      <c r="L59" s="76" t="str">
        <f>IFERROR(VLOOKUP(A59,Calculations!$D$6:$AI$136,16,FALSE),"")</f>
        <v/>
      </c>
      <c r="M59" s="76" t="str">
        <f>IFERROR(VLOOKUP(A59,Calculations!$D$6:$AI$136,17,FALSE),"")</f>
        <v/>
      </c>
      <c r="N59" s="76" t="str">
        <f>IFERROR(VLOOKUP(A59,Calculations!$D$6:$AI$136,18,FALSE),"")</f>
        <v/>
      </c>
      <c r="O59" s="58" t="str">
        <f>IFERROR(VLOOKUP(A59,Calculations!$D$6:$AI$136,27,FALSE),"")</f>
        <v/>
      </c>
      <c r="P59" s="125" t="str">
        <f>IFERROR(VLOOKUP(A59,Calculations!$D$6:$AI$136,30,FALSE),"")</f>
        <v/>
      </c>
    </row>
    <row r="60" spans="1:16" ht="15" x14ac:dyDescent="0.3">
      <c r="A60" s="36">
        <v>58</v>
      </c>
      <c r="B60" s="35" t="str">
        <f>IFERROR(VLOOKUP(A60,Calculations!$D$6:$AI$136,3,FALSE),"")</f>
        <v/>
      </c>
      <c r="C60" s="75" t="str">
        <f>IFERROR(VLOOKUP(A60,Calculations!$D$6:$AI$136,4,FALSE),"")</f>
        <v/>
      </c>
      <c r="D60" s="75" t="str">
        <f>IFERROR(VLOOKUP(A60,Calculations!$D$6:$AI$136,5,FALSE),"")</f>
        <v/>
      </c>
      <c r="E60" s="75" t="str">
        <f>IFERROR(VLOOKUP(A60,Calculations!$D$6:$AI$136,8,FALSE),"")</f>
        <v/>
      </c>
      <c r="F60" s="75" t="str">
        <f>IFERROR(VLOOKUP(A60,Calculations!$D$6:$AI$136,9,FALSE),"")</f>
        <v/>
      </c>
      <c r="G60" s="76" t="str">
        <f>IFERROR(VLOOKUP(A60,Calculations!$D$6:$AI$136,11,FALSE),"")</f>
        <v/>
      </c>
      <c r="H60" s="76" t="str">
        <f>IFERROR(VLOOKUP(A60,Calculations!$D$6:$AI$136,12,FALSE),"")</f>
        <v/>
      </c>
      <c r="I60" s="76" t="str">
        <f>IFERROR(VLOOKUP(A60,Calculations!$D$6:$AI$136,13,FALSE),"")</f>
        <v/>
      </c>
      <c r="J60" s="76" t="str">
        <f>IFERROR(VLOOKUP(A60,Calculations!$D$6:$AI$136,14,FALSE),"")</f>
        <v/>
      </c>
      <c r="K60" s="76" t="str">
        <f>IFERROR(VLOOKUP(A60,Calculations!$D$6:$AI$136,15,FALSE),"")</f>
        <v/>
      </c>
      <c r="L60" s="76" t="str">
        <f>IFERROR(VLOOKUP(A60,Calculations!$D$6:$AI$136,16,FALSE),"")</f>
        <v/>
      </c>
      <c r="M60" s="76" t="str">
        <f>IFERROR(VLOOKUP(A60,Calculations!$D$6:$AI$136,17,FALSE),"")</f>
        <v/>
      </c>
      <c r="N60" s="76" t="str">
        <f>IFERROR(VLOOKUP(A60,Calculations!$D$6:$AI$136,18,FALSE),"")</f>
        <v/>
      </c>
      <c r="O60" s="58" t="str">
        <f>IFERROR(VLOOKUP(A60,Calculations!$D$6:$AI$136,27,FALSE),"")</f>
        <v/>
      </c>
      <c r="P60" s="125" t="str">
        <f>IFERROR(VLOOKUP(A60,Calculations!$D$6:$AI$136,30,FALSE),"")</f>
        <v/>
      </c>
    </row>
    <row r="61" spans="1:16" ht="15" x14ac:dyDescent="0.3">
      <c r="A61" s="36">
        <v>59</v>
      </c>
      <c r="B61" s="35" t="str">
        <f>IFERROR(VLOOKUP(A61,Calculations!$D$6:$AI$136,3,FALSE),"")</f>
        <v/>
      </c>
      <c r="C61" s="75" t="str">
        <f>IFERROR(VLOOKUP(A61,Calculations!$D$6:$AI$136,4,FALSE),"")</f>
        <v/>
      </c>
      <c r="D61" s="75" t="str">
        <f>IFERROR(VLOOKUP(A61,Calculations!$D$6:$AI$136,5,FALSE),"")</f>
        <v/>
      </c>
      <c r="E61" s="75" t="str">
        <f>IFERROR(VLOOKUP(A61,Calculations!$D$6:$AI$136,8,FALSE),"")</f>
        <v/>
      </c>
      <c r="F61" s="75" t="str">
        <f>IFERROR(VLOOKUP(A61,Calculations!$D$6:$AI$136,9,FALSE),"")</f>
        <v/>
      </c>
      <c r="G61" s="76" t="str">
        <f>IFERROR(VLOOKUP(A61,Calculations!$D$6:$AI$136,11,FALSE),"")</f>
        <v/>
      </c>
      <c r="H61" s="76" t="str">
        <f>IFERROR(VLOOKUP(A61,Calculations!$D$6:$AI$136,12,FALSE),"")</f>
        <v/>
      </c>
      <c r="I61" s="76" t="str">
        <f>IFERROR(VLOOKUP(A61,Calculations!$D$6:$AI$136,13,FALSE),"")</f>
        <v/>
      </c>
      <c r="J61" s="76" t="str">
        <f>IFERROR(VLOOKUP(A61,Calculations!$D$6:$AI$136,14,FALSE),"")</f>
        <v/>
      </c>
      <c r="K61" s="76" t="str">
        <f>IFERROR(VLOOKUP(A61,Calculations!$D$6:$AI$136,15,FALSE),"")</f>
        <v/>
      </c>
      <c r="L61" s="76" t="str">
        <f>IFERROR(VLOOKUP(A61,Calculations!$D$6:$AI$136,16,FALSE),"")</f>
        <v/>
      </c>
      <c r="M61" s="76" t="str">
        <f>IFERROR(VLOOKUP(A61,Calculations!$D$6:$AI$136,17,FALSE),"")</f>
        <v/>
      </c>
      <c r="N61" s="76" t="str">
        <f>IFERROR(VLOOKUP(A61,Calculations!$D$6:$AI$136,18,FALSE),"")</f>
        <v/>
      </c>
      <c r="O61" s="58" t="str">
        <f>IFERROR(VLOOKUP(A61,Calculations!$D$6:$AI$136,27,FALSE),"")</f>
        <v/>
      </c>
      <c r="P61" s="125" t="str">
        <f>IFERROR(VLOOKUP(A61,Calculations!$D$6:$AI$136,30,FALSE),"")</f>
        <v/>
      </c>
    </row>
    <row r="62" spans="1:16" ht="15" x14ac:dyDescent="0.3">
      <c r="A62" s="36">
        <v>60</v>
      </c>
      <c r="B62" s="35" t="str">
        <f>IFERROR(VLOOKUP(A62,Calculations!$D$6:$AI$136,3,FALSE),"")</f>
        <v/>
      </c>
      <c r="C62" s="75" t="str">
        <f>IFERROR(VLOOKUP(A62,Calculations!$D$6:$AI$136,4,FALSE),"")</f>
        <v/>
      </c>
      <c r="D62" s="75" t="str">
        <f>IFERROR(VLOOKUP(A62,Calculations!$D$6:$AI$136,5,FALSE),"")</f>
        <v/>
      </c>
      <c r="E62" s="75" t="str">
        <f>IFERROR(VLOOKUP(A62,Calculations!$D$6:$AI$136,8,FALSE),"")</f>
        <v/>
      </c>
      <c r="F62" s="75" t="str">
        <f>IFERROR(VLOOKUP(A62,Calculations!$D$6:$AI$136,9,FALSE),"")</f>
        <v/>
      </c>
      <c r="G62" s="76" t="str">
        <f>IFERROR(VLOOKUP(A62,Calculations!$D$6:$AI$136,11,FALSE),"")</f>
        <v/>
      </c>
      <c r="H62" s="76" t="str">
        <f>IFERROR(VLOOKUP(A62,Calculations!$D$6:$AI$136,12,FALSE),"")</f>
        <v/>
      </c>
      <c r="I62" s="76" t="str">
        <f>IFERROR(VLOOKUP(A62,Calculations!$D$6:$AI$136,13,FALSE),"")</f>
        <v/>
      </c>
      <c r="J62" s="76" t="str">
        <f>IFERROR(VLOOKUP(A62,Calculations!$D$6:$AI$136,14,FALSE),"")</f>
        <v/>
      </c>
      <c r="K62" s="76" t="str">
        <f>IFERROR(VLOOKUP(A62,Calculations!$D$6:$AI$136,15,FALSE),"")</f>
        <v/>
      </c>
      <c r="L62" s="76" t="str">
        <f>IFERROR(VLOOKUP(A62,Calculations!$D$6:$AI$136,16,FALSE),"")</f>
        <v/>
      </c>
      <c r="M62" s="76" t="str">
        <f>IFERROR(VLOOKUP(A62,Calculations!$D$6:$AI$136,17,FALSE),"")</f>
        <v/>
      </c>
      <c r="N62" s="76" t="str">
        <f>IFERROR(VLOOKUP(A62,Calculations!$D$6:$AI$136,18,FALSE),"")</f>
        <v/>
      </c>
      <c r="O62" s="58" t="str">
        <f>IFERROR(VLOOKUP(A62,Calculations!$D$6:$AI$136,27,FALSE),"")</f>
        <v/>
      </c>
      <c r="P62" s="125" t="str">
        <f>IFERROR(VLOOKUP(A62,Calculations!$D$6:$AI$136,30,FALSE),"")</f>
        <v/>
      </c>
    </row>
    <row r="63" spans="1:16" ht="15" x14ac:dyDescent="0.3">
      <c r="B63" s="35" t="str">
        <f>IFERROR(VLOOKUP(A63,Calculations!$D$6:$AI$136,3,FALSE),"")</f>
        <v/>
      </c>
      <c r="C63" s="75" t="str">
        <f>IFERROR(VLOOKUP(A63,Calculations!$D$6:$AI$136,4,FALSE),"")</f>
        <v/>
      </c>
      <c r="D63" s="75" t="str">
        <f>IFERROR(VLOOKUP(A63,Calculations!$D$6:$AI$136,5,FALSE),"")</f>
        <v/>
      </c>
      <c r="E63" s="75" t="str">
        <f>IFERROR(VLOOKUP(A63,Calculations!$D$6:$AI$136,8,FALSE),"")</f>
        <v/>
      </c>
      <c r="F63" s="75" t="str">
        <f>IFERROR(VLOOKUP(A63,Calculations!$D$6:$AI$136,9,FALSE),"")</f>
        <v/>
      </c>
      <c r="G63" s="76">
        <f>IFERROR(VLOOKUP(A63,Calculations!$C$6:$AI$136,12,FALSE),"")</f>
        <v>0</v>
      </c>
      <c r="H63" s="76">
        <f>IFERROR(VLOOKUP(A63,Calculations!$C$6:$AI$136,13,FALSE),"")</f>
        <v>0</v>
      </c>
      <c r="I63" s="76">
        <f>IFERROR(VLOOKUP(A63,Calculations!$C$6:$AI$136,14,FALSE),"")</f>
        <v>0</v>
      </c>
      <c r="J63" s="76">
        <f>IFERROR(VLOOKUP(A63,Calculations!$C$6:$AI$136,15,FALSE),"")</f>
        <v>0</v>
      </c>
      <c r="K63" s="76">
        <f>IFERROR(VLOOKUP(A63,Calculations!$C$6:$AI$136,16,FALSE),"")</f>
        <v>0</v>
      </c>
      <c r="L63" s="76">
        <f>IFERROR(VLOOKUP(A63,Calculations!$C$6:$AI$136,17,FALSE),"")</f>
        <v>30</v>
      </c>
      <c r="M63" s="76">
        <f>IFERROR(VLOOKUP(A63,Calculations!$C$6:$AI$136,18,FALSE),"")</f>
        <v>0</v>
      </c>
      <c r="N63" s="76">
        <f>IFERROR(VLOOKUP(A63,Calculations!$C$6:$AI$136,19,FALSE),"")</f>
        <v>0</v>
      </c>
      <c r="O63" s="58" t="str">
        <f>IFERROR(VLOOKUP(A63,Calculations!$D$6:$AI$136,27,FALSE),"")</f>
        <v/>
      </c>
      <c r="P63" s="55">
        <f>IFERROR(VLOOKUP(A63,Calculations!$C$6:$AI$136,29,FALSE),"")</f>
        <v>0.81081081081081086</v>
      </c>
    </row>
    <row r="64" spans="1:1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1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workbookViewId="0">
      <selection activeCell="K53" sqref="K53:L54"/>
    </sheetView>
  </sheetViews>
  <sheetFormatPr defaultColWidth="0" defaultRowHeight="14.4" zeroHeight="1" x14ac:dyDescent="0.3"/>
  <cols>
    <col min="1" max="1" width="5.109375" style="36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12" width="8.33203125" customWidth="1"/>
    <col min="13" max="14" width="8.33203125" hidden="1" customWidth="1"/>
    <col min="15" max="20" width="8.33203125" customWidth="1"/>
    <col min="21" max="22" width="8.33203125" hidden="1" customWidth="1"/>
    <col min="23" max="26" width="8.33203125" customWidth="1"/>
    <col min="27" max="28" width="9.109375" customWidth="1"/>
    <col min="29" max="16384" width="9.109375" hidden="1"/>
  </cols>
  <sheetData>
    <row r="1" spans="1:27" s="90" customFormat="1" ht="48.75" customHeight="1" x14ac:dyDescent="0.25">
      <c r="B1" s="91"/>
      <c r="C1" s="92"/>
      <c r="D1" s="92"/>
      <c r="E1" s="92"/>
      <c r="F1" s="92"/>
      <c r="G1" s="92"/>
      <c r="H1" s="93"/>
      <c r="I1" s="94"/>
      <c r="J1" s="95"/>
      <c r="K1" s="95"/>
      <c r="L1" s="95"/>
      <c r="M1" s="94"/>
    </row>
    <row r="2" spans="1:27" ht="28.8" x14ac:dyDescent="0.3">
      <c r="A2" s="69" t="s">
        <v>170</v>
      </c>
      <c r="B2" s="70" t="s">
        <v>0</v>
      </c>
      <c r="C2" s="70" t="s">
        <v>1</v>
      </c>
      <c r="D2" s="70" t="s">
        <v>2</v>
      </c>
      <c r="E2" s="70" t="s">
        <v>3</v>
      </c>
      <c r="F2" s="70" t="s">
        <v>4</v>
      </c>
      <c r="G2" s="71" t="s">
        <v>150</v>
      </c>
      <c r="H2" s="71" t="s">
        <v>151</v>
      </c>
      <c r="I2" s="71" t="s">
        <v>152</v>
      </c>
      <c r="J2" s="71" t="s">
        <v>153</v>
      </c>
      <c r="K2" s="71" t="s">
        <v>154</v>
      </c>
      <c r="L2" s="71" t="s">
        <v>155</v>
      </c>
      <c r="M2" s="71" t="s">
        <v>156</v>
      </c>
      <c r="N2" s="71" t="s">
        <v>157</v>
      </c>
      <c r="O2" s="72" t="s">
        <v>150</v>
      </c>
      <c r="P2" s="72" t="s">
        <v>151</v>
      </c>
      <c r="Q2" s="72" t="s">
        <v>152</v>
      </c>
      <c r="R2" s="72" t="s">
        <v>153</v>
      </c>
      <c r="S2" s="72" t="s">
        <v>154</v>
      </c>
      <c r="T2" s="72" t="s">
        <v>155</v>
      </c>
      <c r="U2" s="72" t="s">
        <v>156</v>
      </c>
      <c r="V2" s="72" t="s">
        <v>157</v>
      </c>
      <c r="W2" s="130" t="s">
        <v>210</v>
      </c>
      <c r="X2" s="130" t="s">
        <v>211</v>
      </c>
      <c r="Y2" s="73" t="s">
        <v>166</v>
      </c>
      <c r="Z2" s="73" t="s">
        <v>167</v>
      </c>
      <c r="AA2" s="74"/>
    </row>
    <row r="3" spans="1:27" ht="15" x14ac:dyDescent="0.3">
      <c r="A3" s="36">
        <v>1</v>
      </c>
      <c r="B3" s="142" t="str">
        <f>IFERROR(VLOOKUP(A3,Calculations!$C$6:$AI$136,4,FALSE),"")</f>
        <v>Justin Wood</v>
      </c>
      <c r="C3" s="75">
        <f>IFERROR(VLOOKUP(A3,Calculations!$C$6:$AI$136,5,FALSE),"")</f>
        <v>1065</v>
      </c>
      <c r="D3" s="75" t="str">
        <f>IFERROR(VLOOKUP(A3,Calculations!$C$6:$AI$136,6,FALSE),"")</f>
        <v>AA</v>
      </c>
      <c r="E3" s="75" t="str">
        <f>IFERROR(VLOOKUP(A3,Calculations!$C$6:$AI$136,9,FALSE),"")</f>
        <v>PCP</v>
      </c>
      <c r="F3" s="75" t="str">
        <f>IFERROR(VLOOKUP(A3,Calculations!$C$6:$AI$136,10,FALSE),"")</f>
        <v>Meon</v>
      </c>
      <c r="G3" s="76">
        <f>IFERROR(VLOOKUP(A3,Calculations!$C$6:$AI$136,12,FALSE),"")</f>
        <v>36</v>
      </c>
      <c r="H3" s="76">
        <f>IFERROR(VLOOKUP(A3,Calculations!$C$6:$AI$136,13,FALSE),"")</f>
        <v>29</v>
      </c>
      <c r="I3" s="76" t="str">
        <f>IFERROR(VLOOKUP(A3,Calculations!$C$6:$AI$136,14,FALSE),"")</f>
        <v/>
      </c>
      <c r="J3" s="76">
        <f>IFERROR(VLOOKUP(A3,Calculations!$C$6:$AI$136,15,FALSE),"")</f>
        <v>36</v>
      </c>
      <c r="K3" s="76">
        <f>IFERROR(VLOOKUP(A3,Calculations!$C$6:$AI$136,16,FALSE),"")</f>
        <v>38</v>
      </c>
      <c r="L3" s="76">
        <f>IFERROR(VLOOKUP(A3,Calculations!$C$6:$AI$136,17,FALSE),"")</f>
        <v>37</v>
      </c>
      <c r="M3" s="76" t="str">
        <f>IFERROR(VLOOKUP(A3,Calculations!$C$6:$AI$136,18,FALSE),"")</f>
        <v/>
      </c>
      <c r="N3" s="76" t="str">
        <f>IFERROR(VLOOKUP(A3,Calculations!$C$6:$AI$136,19,FALSE),"")</f>
        <v/>
      </c>
      <c r="O3" s="77">
        <f>IFERROR(VLOOKUP(A3,Calculations!$C$6:$AI$136,20,FALSE),"")</f>
        <v>0.97297297297297303</v>
      </c>
      <c r="P3" s="77">
        <f>IFERROR(VLOOKUP(A3,Calculations!$C$6:$AI$136,21,FALSE),"")</f>
        <v>0.93548387096774188</v>
      </c>
      <c r="Q3" s="77" t="str">
        <f>IFERROR(VLOOKUP(A3,Calculations!$C$6:$AI$136,22,FALSE),"")</f>
        <v/>
      </c>
      <c r="R3" s="77">
        <f>IFERROR(VLOOKUP(A3,Calculations!$C$6:$AI$136,23,FALSE),"")</f>
        <v>1</v>
      </c>
      <c r="S3" s="77">
        <f>IFERROR(VLOOKUP(A3,Calculations!$C$6:$AI$136,24,FALSE),"")</f>
        <v>1</v>
      </c>
      <c r="T3" s="77">
        <f>IFERROR(VLOOKUP(A3,Calculations!$C$6:$AI$136,25,FALSE),"")</f>
        <v>1</v>
      </c>
      <c r="U3" s="77" t="str">
        <f>IFERROR(VLOOKUP(A3,Calculations!$C$6:$AI$136,26,FALSE),"")</f>
        <v/>
      </c>
      <c r="V3" s="77" t="str">
        <f>IFERROR(VLOOKUP(A3,Calculations!$C$6:$AI$136,27,FALSE),"")</f>
        <v/>
      </c>
      <c r="W3" s="77">
        <f>IFERROR(VLOOKUP(A3,Calculations!$C$6:$AI$136,32,FALSE),"")</f>
        <v>0.93548387096774188</v>
      </c>
      <c r="X3" s="77" t="str">
        <f>IFERROR(VLOOKUP(A3,Calculations!$C$6:$AI$136,33,FALSE),"")</f>
        <v/>
      </c>
      <c r="Y3" s="58">
        <f>IFERROR(VLOOKUP(A3,Calculations!$C$6:$AI$136,28,FALSE),"")</f>
        <v>5</v>
      </c>
      <c r="Z3" s="55">
        <f>IFERROR(VLOOKUP(A3,Calculations!$C$6:$AI$136,30,FALSE),"")</f>
        <v>0.9932432432432432</v>
      </c>
    </row>
    <row r="4" spans="1:27" ht="15" x14ac:dyDescent="0.3">
      <c r="A4" s="36">
        <v>2</v>
      </c>
      <c r="B4" s="142" t="str">
        <f>IFERROR(VLOOKUP(A4,Calculations!$C$6:$AI$136,4,FALSE),"")</f>
        <v>Terry Holt</v>
      </c>
      <c r="C4" s="75">
        <f>IFERROR(VLOOKUP(A4,Calculations!$C$6:$AI$136,5,FALSE),"")</f>
        <v>1688</v>
      </c>
      <c r="D4" s="75" t="str">
        <f>IFERROR(VLOOKUP(A4,Calculations!$C$6:$AI$136,6,FALSE),"")</f>
        <v>AA</v>
      </c>
      <c r="E4" s="75" t="str">
        <f>IFERROR(VLOOKUP(A4,Calculations!$C$6:$AI$136,9,FALSE),"")</f>
        <v>PCP</v>
      </c>
      <c r="F4" s="75" t="str">
        <f>IFERROR(VLOOKUP(A4,Calculations!$C$6:$AI$136,10,FALSE),"")</f>
        <v>Frobury</v>
      </c>
      <c r="G4" s="76">
        <f>IFERROR(VLOOKUP(A4,Calculations!$C$6:$AI$136,12,FALSE),"")</f>
        <v>36</v>
      </c>
      <c r="H4" s="76" t="str">
        <f>IFERROR(VLOOKUP(A4,Calculations!$C$6:$AI$136,13,FALSE),"")</f>
        <v/>
      </c>
      <c r="I4" s="76">
        <f>IFERROR(VLOOKUP(A4,Calculations!$C$6:$AI$136,14,FALSE),"")</f>
        <v>36</v>
      </c>
      <c r="J4" s="76">
        <f>IFERROR(VLOOKUP(A4,Calculations!$C$6:$AI$136,15,FALSE),"")</f>
        <v>34</v>
      </c>
      <c r="K4" s="76">
        <f>IFERROR(VLOOKUP(A4,Calculations!$C$6:$AI$136,16,FALSE),"")</f>
        <v>34</v>
      </c>
      <c r="L4" s="76">
        <f>IFERROR(VLOOKUP(A4,Calculations!$C$6:$AI$136,17,FALSE),"")</f>
        <v>37</v>
      </c>
      <c r="M4" s="76" t="str">
        <f>IFERROR(VLOOKUP(A4,Calculations!$C$6:$AI$136,18,FALSE),"")</f>
        <v/>
      </c>
      <c r="N4" s="76" t="str">
        <f>IFERROR(VLOOKUP(A4,Calculations!$C$6:$AI$136,19,FALSE),"")</f>
        <v/>
      </c>
      <c r="O4" s="77">
        <f>IFERROR(VLOOKUP(A4,Calculations!$C$6:$AI$136,20,FALSE),"")</f>
        <v>0.97297297297297303</v>
      </c>
      <c r="P4" s="77" t="str">
        <f>IFERROR(VLOOKUP(A4,Calculations!$C$6:$AI$136,21,FALSE),"")</f>
        <v/>
      </c>
      <c r="Q4" s="77">
        <f>IFERROR(VLOOKUP(A4,Calculations!$C$6:$AI$136,22,FALSE),"")</f>
        <v>0.97297297297297303</v>
      </c>
      <c r="R4" s="77">
        <f>IFERROR(VLOOKUP(A4,Calculations!$C$6:$AI$136,23,FALSE),"")</f>
        <v>0.94444444444444442</v>
      </c>
      <c r="S4" s="77">
        <f>IFERROR(VLOOKUP(A4,Calculations!$C$6:$AI$136,24,FALSE),"")</f>
        <v>0.89473684210526316</v>
      </c>
      <c r="T4" s="77">
        <f>IFERROR(VLOOKUP(A4,Calculations!$C$6:$AI$136,25,FALSE),"")</f>
        <v>1</v>
      </c>
      <c r="U4" s="77" t="str">
        <f>IFERROR(VLOOKUP(A4,Calculations!$C$6:$AI$136,26,FALSE),"")</f>
        <v/>
      </c>
      <c r="V4" s="77" t="str">
        <f>IFERROR(VLOOKUP(A4,Calculations!$C$6:$AI$136,27,FALSE),"")</f>
        <v/>
      </c>
      <c r="W4" s="77">
        <f>IFERROR(VLOOKUP(A4,Calculations!$C$6:$AI$136,32,FALSE),"")</f>
        <v>0.89473684210526316</v>
      </c>
      <c r="X4" s="77" t="str">
        <f>IFERROR(VLOOKUP(A4,Calculations!$C$6:$AI$136,33,FALSE),"")</f>
        <v/>
      </c>
      <c r="Y4" s="58">
        <f>IFERROR(VLOOKUP(A4,Calculations!$C$6:$AI$136,28,FALSE),"")</f>
        <v>5</v>
      </c>
      <c r="Z4" s="55">
        <f>IFERROR(VLOOKUP(A4,Calculations!$C$6:$AI$136,30,FALSE),"")</f>
        <v>0.97259759759759756</v>
      </c>
    </row>
    <row r="5" spans="1:27" ht="15" x14ac:dyDescent="0.3">
      <c r="A5" s="36">
        <v>3</v>
      </c>
      <c r="B5" s="142" t="str">
        <f>IFERROR(VLOOKUP(A5,Calculations!$C$6:$AI$136,4,FALSE),"")</f>
        <v>Austin Glass</v>
      </c>
      <c r="C5" s="75">
        <f>IFERROR(VLOOKUP(A5,Calculations!$C$6:$AI$136,5,FALSE),"")</f>
        <v>968</v>
      </c>
      <c r="D5" s="75" t="str">
        <f>IFERROR(VLOOKUP(A5,Calculations!$C$6:$AI$136,6,FALSE),"")</f>
        <v>AA</v>
      </c>
      <c r="E5" s="75" t="str">
        <f>IFERROR(VLOOKUP(A5,Calculations!$C$6:$AI$136,9,FALSE),"")</f>
        <v>PCP</v>
      </c>
      <c r="F5" s="75" t="str">
        <f>IFERROR(VLOOKUP(A5,Calculations!$C$6:$AI$136,10,FALSE),"")</f>
        <v>Weston Warrior</v>
      </c>
      <c r="G5" s="76">
        <f>IFERROR(VLOOKUP(A5,Calculations!$C$6:$AI$136,12,FALSE),"")</f>
        <v>37</v>
      </c>
      <c r="H5" s="76">
        <f>IFERROR(VLOOKUP(A5,Calculations!$C$6:$AI$136,13,FALSE),"")</f>
        <v>31</v>
      </c>
      <c r="I5" s="76">
        <f>IFERROR(VLOOKUP(A5,Calculations!$C$6:$AI$136,14,FALSE),"")</f>
        <v>33</v>
      </c>
      <c r="J5" s="76">
        <f>IFERROR(VLOOKUP(A5,Calculations!$C$6:$AI$136,15,FALSE),"")</f>
        <v>32</v>
      </c>
      <c r="K5" s="76">
        <f>IFERROR(VLOOKUP(A5,Calculations!$C$6:$AI$136,16,FALSE),"")</f>
        <v>33</v>
      </c>
      <c r="L5" s="76">
        <f>IFERROR(VLOOKUP(A5,Calculations!$C$6:$AI$136,17,FALSE),"")</f>
        <v>35</v>
      </c>
      <c r="M5" s="76" t="str">
        <f>IFERROR(VLOOKUP(A5,Calculations!$C$6:$AI$136,18,FALSE),"")</f>
        <v/>
      </c>
      <c r="N5" s="76" t="str">
        <f>IFERROR(VLOOKUP(A5,Calculations!$C$6:$AI$136,19,FALSE),"")</f>
        <v/>
      </c>
      <c r="O5" s="77">
        <f>IFERROR(VLOOKUP(A5,Calculations!$C$6:$AI$136,20,FALSE),"")</f>
        <v>1</v>
      </c>
      <c r="P5" s="77">
        <f>IFERROR(VLOOKUP(A5,Calculations!$C$6:$AI$136,21,FALSE),"")</f>
        <v>1</v>
      </c>
      <c r="Q5" s="77">
        <f>IFERROR(VLOOKUP(A5,Calculations!$C$6:$AI$136,22,FALSE),"")</f>
        <v>0.89189189189189189</v>
      </c>
      <c r="R5" s="77">
        <f>IFERROR(VLOOKUP(A5,Calculations!$C$6:$AI$136,23,FALSE),"")</f>
        <v>0.88888888888888884</v>
      </c>
      <c r="S5" s="77">
        <f>IFERROR(VLOOKUP(A5,Calculations!$C$6:$AI$136,24,FALSE),"")</f>
        <v>0.86842105263157898</v>
      </c>
      <c r="T5" s="77">
        <f>IFERROR(VLOOKUP(A5,Calculations!$C$6:$AI$136,25,FALSE),"")</f>
        <v>0.94594594594594594</v>
      </c>
      <c r="U5" s="77" t="str">
        <f>IFERROR(VLOOKUP(A5,Calculations!$C$6:$AI$136,26,FALSE),"")</f>
        <v/>
      </c>
      <c r="V5" s="77" t="str">
        <f>IFERROR(VLOOKUP(A5,Calculations!$C$6:$AI$136,27,FALSE),"")</f>
        <v/>
      </c>
      <c r="W5" s="77" t="str">
        <f>IFERROR(VLOOKUP(A5,Calculations!$C$6:$AI$136,32,FALSE),"")</f>
        <v/>
      </c>
      <c r="X5" s="77">
        <f>IFERROR(VLOOKUP(A5,Calculations!$C$6:$AI$136,33,FALSE),"")</f>
        <v>0.86842105263157898</v>
      </c>
      <c r="Y5" s="58">
        <f>IFERROR(VLOOKUP(A5,Calculations!$C$6:$AI$136,28,FALSE),"")</f>
        <v>6</v>
      </c>
      <c r="Z5" s="55">
        <f>IFERROR(VLOOKUP(A5,Calculations!$C$6:$AI$136,30,FALSE),"")</f>
        <v>0.95945945945945943</v>
      </c>
    </row>
    <row r="6" spans="1:27" ht="15" x14ac:dyDescent="0.3">
      <c r="A6" s="36">
        <v>4</v>
      </c>
      <c r="B6" s="142" t="str">
        <f>IFERROR(VLOOKUP(A6,Calculations!$C$6:$AI$136,4,FALSE),"")</f>
        <v>Glenn Newman</v>
      </c>
      <c r="C6" s="75">
        <f>IFERROR(VLOOKUP(A6,Calculations!$C$6:$AI$136,5,FALSE),"")</f>
        <v>834</v>
      </c>
      <c r="D6" s="75" t="str">
        <f>IFERROR(VLOOKUP(A6,Calculations!$C$6:$AI$136,6,FALSE),"")</f>
        <v>AA</v>
      </c>
      <c r="E6" s="75" t="str">
        <f>IFERROR(VLOOKUP(A6,Calculations!$C$6:$AI$136,9,FALSE),"")</f>
        <v>PCP</v>
      </c>
      <c r="F6" s="75" t="str">
        <f>IFERROR(VLOOKUP(A6,Calculations!$C$6:$AI$136,10,FALSE),"")</f>
        <v>Weston Warrior</v>
      </c>
      <c r="G6" s="76">
        <f>IFERROR(VLOOKUP(A6,Calculations!$C$6:$AI$136,12,FALSE),"")</f>
        <v>34</v>
      </c>
      <c r="H6" s="76">
        <f>IFERROR(VLOOKUP(A6,Calculations!$C$6:$AI$136,13,FALSE),"")</f>
        <v>27</v>
      </c>
      <c r="I6" s="76">
        <f>IFERROR(VLOOKUP(A6,Calculations!$C$6:$AI$136,14,FALSE),"")</f>
        <v>37</v>
      </c>
      <c r="J6" s="76">
        <f>IFERROR(VLOOKUP(A6,Calculations!$C$6:$AI$136,15,FALSE),"")</f>
        <v>29</v>
      </c>
      <c r="K6" s="76">
        <f>IFERROR(VLOOKUP(A6,Calculations!$C$6:$AI$136,16,FALSE),"")</f>
        <v>32</v>
      </c>
      <c r="L6" s="76">
        <f>IFERROR(VLOOKUP(A6,Calculations!$C$6:$AI$136,17,FALSE),"")</f>
        <v>36</v>
      </c>
      <c r="M6" s="76" t="str">
        <f>IFERROR(VLOOKUP(A6,Calculations!$C$6:$AI$136,18,FALSE),"")</f>
        <v/>
      </c>
      <c r="N6" s="76" t="str">
        <f>IFERROR(VLOOKUP(A6,Calculations!$C$6:$AI$136,19,FALSE),"")</f>
        <v/>
      </c>
      <c r="O6" s="77">
        <f>IFERROR(VLOOKUP(A6,Calculations!$C$6:$AI$136,20,FALSE),"")</f>
        <v>0.91891891891891897</v>
      </c>
      <c r="P6" s="77">
        <f>IFERROR(VLOOKUP(A6,Calculations!$C$6:$AI$136,21,FALSE),"")</f>
        <v>0.87096774193548387</v>
      </c>
      <c r="Q6" s="77">
        <f>IFERROR(VLOOKUP(A6,Calculations!$C$6:$AI$136,22,FALSE),"")</f>
        <v>1</v>
      </c>
      <c r="R6" s="77">
        <f>IFERROR(VLOOKUP(A6,Calculations!$C$6:$AI$136,23,FALSE),"")</f>
        <v>0.80555555555555558</v>
      </c>
      <c r="S6" s="77">
        <f>IFERROR(VLOOKUP(A6,Calculations!$C$6:$AI$136,24,FALSE),"")</f>
        <v>0.84210526315789469</v>
      </c>
      <c r="T6" s="77">
        <f>IFERROR(VLOOKUP(A6,Calculations!$C$6:$AI$136,25,FALSE),"")</f>
        <v>0.97297297297297303</v>
      </c>
      <c r="U6" s="77" t="str">
        <f>IFERROR(VLOOKUP(A6,Calculations!$C$6:$AI$136,26,FALSE),"")</f>
        <v/>
      </c>
      <c r="V6" s="77" t="str">
        <f>IFERROR(VLOOKUP(A6,Calculations!$C$6:$AI$136,27,FALSE),"")</f>
        <v/>
      </c>
      <c r="W6" s="77" t="str">
        <f>IFERROR(VLOOKUP(A6,Calculations!$C$6:$AI$136,32,FALSE),"")</f>
        <v/>
      </c>
      <c r="X6" s="77">
        <f>IFERROR(VLOOKUP(A6,Calculations!$C$6:$AI$136,33,FALSE),"")</f>
        <v>0.80555555555555558</v>
      </c>
      <c r="Y6" s="58">
        <f>IFERROR(VLOOKUP(A6,Calculations!$C$6:$AI$136,28,FALSE),"")</f>
        <v>6</v>
      </c>
      <c r="Z6" s="55">
        <f>IFERROR(VLOOKUP(A6,Calculations!$C$6:$AI$136,30,FALSE),"")</f>
        <v>0.94071490845684402</v>
      </c>
    </row>
    <row r="7" spans="1:27" ht="15" x14ac:dyDescent="0.3">
      <c r="A7" s="36">
        <v>5</v>
      </c>
      <c r="B7" s="142" t="str">
        <f>IFERROR(VLOOKUP(A7,Calculations!$C$6:$AI$136,4,FALSE),"")</f>
        <v>Dave Page Starr</v>
      </c>
      <c r="C7" s="75" t="str">
        <f>IFERROR(VLOOKUP(A7,Calculations!$C$6:$AI$136,5,FALSE),"")</f>
        <v/>
      </c>
      <c r="D7" s="75" t="str">
        <f>IFERROR(VLOOKUP(A7,Calculations!$C$6:$AI$136,6,FALSE),"")</f>
        <v>A</v>
      </c>
      <c r="E7" s="75" t="str">
        <f>IFERROR(VLOOKUP(A7,Calculations!$C$6:$AI$136,9,FALSE),"")</f>
        <v>PCP</v>
      </c>
      <c r="F7" s="75" t="str">
        <f>IFERROR(VLOOKUP(A7,Calculations!$C$6:$AI$136,10,FALSE),"")</f>
        <v>Weston Warrior</v>
      </c>
      <c r="G7" s="76">
        <f>IFERROR(VLOOKUP(A7,Calculations!$C$6:$AI$136,12,FALSE),"")</f>
        <v>34</v>
      </c>
      <c r="H7" s="76">
        <f>IFERROR(VLOOKUP(A7,Calculations!$C$6:$AI$136,13,FALSE),"")</f>
        <v>29</v>
      </c>
      <c r="I7" s="76">
        <f>IFERROR(VLOOKUP(A7,Calculations!$C$6:$AI$136,14,FALSE),"")</f>
        <v>34</v>
      </c>
      <c r="J7" s="76">
        <f>IFERROR(VLOOKUP(A7,Calculations!$C$6:$AI$136,15,FALSE),"")</f>
        <v>32</v>
      </c>
      <c r="K7" s="76">
        <f>IFERROR(VLOOKUP(A7,Calculations!$C$6:$AI$136,16,FALSE),"")</f>
        <v>37</v>
      </c>
      <c r="L7" s="76">
        <f>IFERROR(VLOOKUP(A7,Calculations!$C$6:$AI$136,17,FALSE),"")</f>
        <v>34</v>
      </c>
      <c r="M7" s="76" t="str">
        <f>IFERROR(VLOOKUP(A7,Calculations!$C$6:$AI$136,18,FALSE),"")</f>
        <v/>
      </c>
      <c r="N7" s="76" t="str">
        <f>IFERROR(VLOOKUP(A7,Calculations!$C$6:$AI$136,19,FALSE),"")</f>
        <v/>
      </c>
      <c r="O7" s="77">
        <f>IFERROR(VLOOKUP(A7,Calculations!$C$6:$AI$136,20,FALSE),"")</f>
        <v>0.91891891891891897</v>
      </c>
      <c r="P7" s="77">
        <f>IFERROR(VLOOKUP(A7,Calculations!$C$6:$AI$136,21,FALSE),"")</f>
        <v>0.93548387096774188</v>
      </c>
      <c r="Q7" s="77">
        <f>IFERROR(VLOOKUP(A7,Calculations!$C$6:$AI$136,22,FALSE),"")</f>
        <v>0.91891891891891897</v>
      </c>
      <c r="R7" s="77">
        <f>IFERROR(VLOOKUP(A7,Calculations!$C$6:$AI$136,23,FALSE),"")</f>
        <v>0.88888888888888884</v>
      </c>
      <c r="S7" s="77">
        <f>IFERROR(VLOOKUP(A7,Calculations!$C$6:$AI$136,24,FALSE),"")</f>
        <v>0.97368421052631582</v>
      </c>
      <c r="T7" s="77">
        <f>IFERROR(VLOOKUP(A7,Calculations!$C$6:$AI$136,25,FALSE),"")</f>
        <v>0.91891891891891897</v>
      </c>
      <c r="U7" s="77" t="str">
        <f>IFERROR(VLOOKUP(A7,Calculations!$C$6:$AI$136,26,FALSE),"")</f>
        <v/>
      </c>
      <c r="V7" s="77" t="str">
        <f>IFERROR(VLOOKUP(A7,Calculations!$C$6:$AI$136,27,FALSE),"")</f>
        <v/>
      </c>
      <c r="W7" s="77" t="str">
        <f>IFERROR(VLOOKUP(A7,Calculations!$C$6:$AI$136,32,FALSE),"")</f>
        <v/>
      </c>
      <c r="X7" s="77">
        <f>IFERROR(VLOOKUP(A7,Calculations!$C$6:$AI$136,33,FALSE),"")</f>
        <v>0.88888888888888884</v>
      </c>
      <c r="Y7" s="58">
        <f>IFERROR(VLOOKUP(A7,Calculations!$C$6:$AI$136,28,FALSE),"")</f>
        <v>6</v>
      </c>
      <c r="Z7" s="55">
        <f>IFERROR(VLOOKUP(A7,Calculations!$C$6:$AI$136,30,FALSE),"")</f>
        <v>0.93675147983297391</v>
      </c>
    </row>
    <row r="8" spans="1:27" ht="15" x14ac:dyDescent="0.3">
      <c r="A8" s="36">
        <v>6</v>
      </c>
      <c r="B8" s="142" t="str">
        <f>IFERROR(VLOOKUP(A8,Calculations!$C$6:$AI$136,4,FALSE),"")</f>
        <v>Mel Hills</v>
      </c>
      <c r="C8" s="75">
        <f>IFERROR(VLOOKUP(A8,Calculations!$C$6:$AI$136,5,FALSE),"")</f>
        <v>1691</v>
      </c>
      <c r="D8" s="75" t="str">
        <f>IFERROR(VLOOKUP(A8,Calculations!$C$6:$AI$136,6,FALSE),"")</f>
        <v>AA</v>
      </c>
      <c r="E8" s="75" t="str">
        <f>IFERROR(VLOOKUP(A8,Calculations!$C$6:$AI$136,9,FALSE),"")</f>
        <v>PCP</v>
      </c>
      <c r="F8" s="75" t="str">
        <f>IFERROR(VLOOKUP(A8,Calculations!$C$6:$AI$136,10,FALSE),"")</f>
        <v>Frobury</v>
      </c>
      <c r="G8" s="76">
        <f>IFERROR(VLOOKUP(A8,Calculations!$C$6:$AI$136,12,FALSE),"")</f>
        <v>29</v>
      </c>
      <c r="H8" s="76">
        <f>IFERROR(VLOOKUP(A8,Calculations!$C$6:$AI$136,13,FALSE),"")</f>
        <v>29</v>
      </c>
      <c r="I8" s="76">
        <f>IFERROR(VLOOKUP(A8,Calculations!$C$6:$AI$136,14,FALSE),"")</f>
        <v>33</v>
      </c>
      <c r="J8" s="76">
        <f>IFERROR(VLOOKUP(A8,Calculations!$C$6:$AI$136,15,FALSE),"")</f>
        <v>34</v>
      </c>
      <c r="K8" s="76">
        <f>IFERROR(VLOOKUP(A8,Calculations!$C$6:$AI$136,16,FALSE),"")</f>
        <v>31</v>
      </c>
      <c r="L8" s="76">
        <f>IFERROR(VLOOKUP(A8,Calculations!$C$6:$AI$136,17,FALSE),"")</f>
        <v>35</v>
      </c>
      <c r="M8" s="76" t="str">
        <f>IFERROR(VLOOKUP(A8,Calculations!$C$6:$AI$136,18,FALSE),"")</f>
        <v/>
      </c>
      <c r="N8" s="76" t="str">
        <f>IFERROR(VLOOKUP(A8,Calculations!$C$6:$AI$136,19,FALSE),"")</f>
        <v/>
      </c>
      <c r="O8" s="77">
        <f>IFERROR(VLOOKUP(A8,Calculations!$C$6:$AI$136,20,FALSE),"")</f>
        <v>0.78378378378378377</v>
      </c>
      <c r="P8" s="77">
        <f>IFERROR(VLOOKUP(A8,Calculations!$C$6:$AI$136,21,FALSE),"")</f>
        <v>0.93548387096774188</v>
      </c>
      <c r="Q8" s="77">
        <f>IFERROR(VLOOKUP(A8,Calculations!$C$6:$AI$136,22,FALSE),"")</f>
        <v>0.89189189189189189</v>
      </c>
      <c r="R8" s="77">
        <f>IFERROR(VLOOKUP(A8,Calculations!$C$6:$AI$136,23,FALSE),"")</f>
        <v>0.94444444444444442</v>
      </c>
      <c r="S8" s="77">
        <f>IFERROR(VLOOKUP(A8,Calculations!$C$6:$AI$136,24,FALSE),"")</f>
        <v>0.81578947368421051</v>
      </c>
      <c r="T8" s="77">
        <f>IFERROR(VLOOKUP(A8,Calculations!$C$6:$AI$136,25,FALSE),"")</f>
        <v>0.94594594594594594</v>
      </c>
      <c r="U8" s="77" t="str">
        <f>IFERROR(VLOOKUP(A8,Calculations!$C$6:$AI$136,26,FALSE),"")</f>
        <v/>
      </c>
      <c r="V8" s="77" t="str">
        <f>IFERROR(VLOOKUP(A8,Calculations!$C$6:$AI$136,27,FALSE),"")</f>
        <v/>
      </c>
      <c r="W8" s="77" t="str">
        <f>IFERROR(VLOOKUP(A8,Calculations!$C$6:$AI$136,32,FALSE),"")</f>
        <v/>
      </c>
      <c r="X8" s="77">
        <f>IFERROR(VLOOKUP(A8,Calculations!$C$6:$AI$136,33,FALSE),"")</f>
        <v>0.78378378378378377</v>
      </c>
      <c r="Y8" s="58">
        <f>IFERROR(VLOOKUP(A8,Calculations!$C$6:$AI$136,28,FALSE),"")</f>
        <v>6</v>
      </c>
      <c r="Z8" s="55">
        <f>IFERROR(VLOOKUP(A8,Calculations!$C$6:$AI$136,30,FALSE),"")</f>
        <v>0.92944153831250609</v>
      </c>
    </row>
    <row r="9" spans="1:27" ht="15" x14ac:dyDescent="0.3">
      <c r="A9" s="36">
        <v>7</v>
      </c>
      <c r="B9" s="142" t="str">
        <f>IFERROR(VLOOKUP(A9,Calculations!$C$6:$AI$136,4,FALSE),"")</f>
        <v>Steve Privett</v>
      </c>
      <c r="C9" s="75">
        <f>IFERROR(VLOOKUP(A9,Calculations!$C$6:$AI$136,5,FALSE),"")</f>
        <v>880</v>
      </c>
      <c r="D9" s="75" t="str">
        <f>IFERROR(VLOOKUP(A9,Calculations!$C$6:$AI$136,6,FALSE),"")</f>
        <v>AA</v>
      </c>
      <c r="E9" s="75" t="str">
        <f>IFERROR(VLOOKUP(A9,Calculations!$C$6:$AI$136,9,FALSE),"")</f>
        <v>PCP</v>
      </c>
      <c r="F9" s="75" t="str">
        <f>IFERROR(VLOOKUP(A9,Calculations!$C$6:$AI$136,10,FALSE),"")</f>
        <v>Buccaneers</v>
      </c>
      <c r="G9" s="76">
        <f>IFERROR(VLOOKUP(A9,Calculations!$C$6:$AI$136,12,FALSE),"")</f>
        <v>36</v>
      </c>
      <c r="H9" s="76">
        <f>IFERROR(VLOOKUP(A9,Calculations!$C$6:$AI$136,13,FALSE),"")</f>
        <v>28</v>
      </c>
      <c r="I9" s="76">
        <f>IFERROR(VLOOKUP(A9,Calculations!$C$6:$AI$136,14,FALSE),"")</f>
        <v>33</v>
      </c>
      <c r="J9" s="76" t="str">
        <f>IFERROR(VLOOKUP(A9,Calculations!$C$6:$AI$136,15,FALSE),"")</f>
        <v/>
      </c>
      <c r="K9" s="76">
        <f>IFERROR(VLOOKUP(A9,Calculations!$C$6:$AI$136,16,FALSE),"")</f>
        <v>34</v>
      </c>
      <c r="L9" s="76">
        <f>IFERROR(VLOOKUP(A9,Calculations!$C$6:$AI$136,17,FALSE),"")</f>
        <v>34</v>
      </c>
      <c r="M9" s="76" t="str">
        <f>IFERROR(VLOOKUP(A9,Calculations!$C$6:$AI$136,18,FALSE),"")</f>
        <v/>
      </c>
      <c r="N9" s="76" t="str">
        <f>IFERROR(VLOOKUP(A9,Calculations!$C$6:$AI$136,19,FALSE),"")</f>
        <v/>
      </c>
      <c r="O9" s="77">
        <f>IFERROR(VLOOKUP(A9,Calculations!$C$6:$AI$136,20,FALSE),"")</f>
        <v>0.97297297297297303</v>
      </c>
      <c r="P9" s="77">
        <f>IFERROR(VLOOKUP(A9,Calculations!$C$6:$AI$136,21,FALSE),"")</f>
        <v>0.90322580645161288</v>
      </c>
      <c r="Q9" s="77">
        <f>IFERROR(VLOOKUP(A9,Calculations!$C$6:$AI$136,22,FALSE),"")</f>
        <v>0.89189189189189189</v>
      </c>
      <c r="R9" s="77" t="str">
        <f>IFERROR(VLOOKUP(A9,Calculations!$C$6:$AI$136,23,FALSE),"")</f>
        <v/>
      </c>
      <c r="S9" s="77">
        <f>IFERROR(VLOOKUP(A9,Calculations!$C$6:$AI$136,24,FALSE),"")</f>
        <v>0.89473684210526316</v>
      </c>
      <c r="T9" s="77">
        <f>IFERROR(VLOOKUP(A9,Calculations!$C$6:$AI$136,25,FALSE),"")</f>
        <v>0.91891891891891897</v>
      </c>
      <c r="U9" s="77" t="str">
        <f>IFERROR(VLOOKUP(A9,Calculations!$C$6:$AI$136,26,FALSE),"")</f>
        <v/>
      </c>
      <c r="V9" s="77" t="str">
        <f>IFERROR(VLOOKUP(A9,Calculations!$C$6:$AI$136,27,FALSE),"")</f>
        <v/>
      </c>
      <c r="W9" s="77">
        <f>IFERROR(VLOOKUP(A9,Calculations!$C$6:$AI$136,32,FALSE),"")</f>
        <v>0.89189189189189189</v>
      </c>
      <c r="X9" s="77" t="str">
        <f>IFERROR(VLOOKUP(A9,Calculations!$C$6:$AI$136,33,FALSE),"")</f>
        <v/>
      </c>
      <c r="Y9" s="58">
        <f>IFERROR(VLOOKUP(A9,Calculations!$C$6:$AI$136,28,FALSE),"")</f>
        <v>5</v>
      </c>
      <c r="Z9" s="55">
        <f>IFERROR(VLOOKUP(A9,Calculations!$C$6:$AI$136,30,FALSE),"")</f>
        <v>0.92246363511219209</v>
      </c>
    </row>
    <row r="10" spans="1:27" ht="15" x14ac:dyDescent="0.3">
      <c r="A10" s="36">
        <v>8</v>
      </c>
      <c r="B10" s="142" t="str">
        <f>IFERROR(VLOOKUP(A10,Calculations!$C$6:$AI$136,4,FALSE),"")</f>
        <v>Allan Dyke</v>
      </c>
      <c r="C10" s="75">
        <f>IFERROR(VLOOKUP(A10,Calculations!$C$6:$AI$136,5,FALSE),"")</f>
        <v>1748</v>
      </c>
      <c r="D10" s="75" t="str">
        <f>IFERROR(VLOOKUP(A10,Calculations!$C$6:$AI$136,6,FALSE),"")</f>
        <v>AA</v>
      </c>
      <c r="E10" s="75" t="str">
        <f>IFERROR(VLOOKUP(A10,Calculations!$C$6:$AI$136,9,FALSE),"")</f>
        <v>PCP</v>
      </c>
      <c r="F10" s="75" t="str">
        <f>IFERROR(VLOOKUP(A10,Calculations!$C$6:$AI$136,10,FALSE),"")</f>
        <v>Carisbrooke</v>
      </c>
      <c r="G10" s="76" t="str">
        <f>IFERROR(VLOOKUP(A10,Calculations!$C$6:$AI$136,12,FALSE),"")</f>
        <v/>
      </c>
      <c r="H10" s="76">
        <f>IFERROR(VLOOKUP(A10,Calculations!$C$6:$AI$136,13,FALSE),"")</f>
        <v>28</v>
      </c>
      <c r="I10" s="76">
        <f>IFERROR(VLOOKUP(A10,Calculations!$C$6:$AI$136,14,FALSE),"")</f>
        <v>34</v>
      </c>
      <c r="J10" s="76">
        <f>IFERROR(VLOOKUP(A10,Calculations!$C$6:$AI$136,15,FALSE),"")</f>
        <v>30</v>
      </c>
      <c r="K10" s="76">
        <f>IFERROR(VLOOKUP(A10,Calculations!$C$6:$AI$136,16,FALSE),"")</f>
        <v>35</v>
      </c>
      <c r="L10" s="76">
        <f>IFERROR(VLOOKUP(A10,Calculations!$C$6:$AI$136,17,FALSE),"")</f>
        <v>35</v>
      </c>
      <c r="M10" s="76" t="str">
        <f>IFERROR(VLOOKUP(A10,Calculations!$C$6:$AI$136,18,FALSE),"")</f>
        <v/>
      </c>
      <c r="N10" s="76" t="str">
        <f>IFERROR(VLOOKUP(A10,Calculations!$C$6:$AI$136,19,FALSE),"")</f>
        <v/>
      </c>
      <c r="O10" s="77" t="str">
        <f>IFERROR(VLOOKUP(A10,Calculations!$C$6:$AI$136,20,FALSE),"")</f>
        <v/>
      </c>
      <c r="P10" s="77">
        <f>IFERROR(VLOOKUP(A10,Calculations!$C$6:$AI$136,21,FALSE),"")</f>
        <v>0.90322580645161288</v>
      </c>
      <c r="Q10" s="77">
        <f>IFERROR(VLOOKUP(A10,Calculations!$C$6:$AI$136,22,FALSE),"")</f>
        <v>0.91891891891891897</v>
      </c>
      <c r="R10" s="77">
        <f>IFERROR(VLOOKUP(A10,Calculations!$C$6:$AI$136,23,FALSE),"")</f>
        <v>0.83333333333333337</v>
      </c>
      <c r="S10" s="77">
        <f>IFERROR(VLOOKUP(A10,Calculations!$C$6:$AI$136,24,FALSE),"")</f>
        <v>0.92105263157894735</v>
      </c>
      <c r="T10" s="77">
        <f>IFERROR(VLOOKUP(A10,Calculations!$C$6:$AI$136,25,FALSE),"")</f>
        <v>0.94594594594594594</v>
      </c>
      <c r="U10" s="77" t="str">
        <f>IFERROR(VLOOKUP(A10,Calculations!$C$6:$AI$136,26,FALSE),"")</f>
        <v/>
      </c>
      <c r="V10" s="77" t="str">
        <f>IFERROR(VLOOKUP(A10,Calculations!$C$6:$AI$136,27,FALSE),"")</f>
        <v/>
      </c>
      <c r="W10" s="77">
        <f>IFERROR(VLOOKUP(A10,Calculations!$C$6:$AI$136,32,FALSE),"")</f>
        <v>0.83333333333333337</v>
      </c>
      <c r="X10" s="77" t="str">
        <f>IFERROR(VLOOKUP(A10,Calculations!$C$6:$AI$136,33,FALSE),"")</f>
        <v/>
      </c>
      <c r="Y10" s="58">
        <f>IFERROR(VLOOKUP(A10,Calculations!$C$6:$AI$136,28,FALSE),"")</f>
        <v>5</v>
      </c>
      <c r="Z10" s="55">
        <f>IFERROR(VLOOKUP(A10,Calculations!$C$6:$AI$136,30,FALSE),"")</f>
        <v>0.92228582572385631</v>
      </c>
    </row>
    <row r="11" spans="1:27" ht="15" x14ac:dyDescent="0.3">
      <c r="A11" s="36">
        <v>9</v>
      </c>
      <c r="B11" s="142" t="str">
        <f>IFERROR(VLOOKUP(A11,Calculations!$C$6:$AI$136,4,FALSE),"")</f>
        <v>Richard Green</v>
      </c>
      <c r="C11" s="75">
        <f>IFERROR(VLOOKUP(A11,Calculations!$C$6:$AI$136,5,FALSE),"")</f>
        <v>94</v>
      </c>
      <c r="D11" s="75" t="str">
        <f>IFERROR(VLOOKUP(A11,Calculations!$C$6:$AI$136,6,FALSE),"")</f>
        <v>AA</v>
      </c>
      <c r="E11" s="75" t="str">
        <f>IFERROR(VLOOKUP(A11,Calculations!$C$6:$AI$136,9,FALSE),"")</f>
        <v>PCP</v>
      </c>
      <c r="F11" s="75" t="str">
        <f>IFERROR(VLOOKUP(A11,Calculations!$C$6:$AI$136,10,FALSE),"")</f>
        <v>Carisbrooke</v>
      </c>
      <c r="G11" s="76">
        <f>IFERROR(VLOOKUP(A11,Calculations!$C$6:$AI$136,12,FALSE),"")</f>
        <v>32</v>
      </c>
      <c r="H11" s="76">
        <f>IFERROR(VLOOKUP(A11,Calculations!$C$6:$AI$136,13,FALSE),"")</f>
        <v>27</v>
      </c>
      <c r="I11" s="76" t="str">
        <f>IFERROR(VLOOKUP(A11,Calculations!$C$6:$AI$136,14,FALSE),"")</f>
        <v/>
      </c>
      <c r="J11" s="76" t="str">
        <f>IFERROR(VLOOKUP(A11,Calculations!$C$6:$AI$136,15,FALSE),"")</f>
        <v/>
      </c>
      <c r="K11" s="76">
        <f>IFERROR(VLOOKUP(A11,Calculations!$C$6:$AI$136,16,FALSE),"")</f>
        <v>32</v>
      </c>
      <c r="L11" s="76">
        <f>IFERROR(VLOOKUP(A11,Calculations!$C$6:$AI$136,17,FALSE),"")</f>
        <v>35</v>
      </c>
      <c r="M11" s="76" t="str">
        <f>IFERROR(VLOOKUP(A11,Calculations!$C$6:$AI$136,18,FALSE),"")</f>
        <v/>
      </c>
      <c r="N11" s="76" t="str">
        <f>IFERROR(VLOOKUP(A11,Calculations!$C$6:$AI$136,19,FALSE),"")</f>
        <v/>
      </c>
      <c r="O11" s="77">
        <f>IFERROR(VLOOKUP(A11,Calculations!$C$6:$AI$136,20,FALSE),"")</f>
        <v>0.86486486486486491</v>
      </c>
      <c r="P11" s="77">
        <f>IFERROR(VLOOKUP(A11,Calculations!$C$6:$AI$136,21,FALSE),"")</f>
        <v>0.87096774193548387</v>
      </c>
      <c r="Q11" s="77" t="str">
        <f>IFERROR(VLOOKUP(A11,Calculations!$C$6:$AI$136,22,FALSE),"")</f>
        <v/>
      </c>
      <c r="R11" s="77" t="str">
        <f>IFERROR(VLOOKUP(A11,Calculations!$C$6:$AI$136,23,FALSE),"")</f>
        <v/>
      </c>
      <c r="S11" s="77">
        <f>IFERROR(VLOOKUP(A11,Calculations!$C$6:$AI$136,24,FALSE),"")</f>
        <v>0.84210526315789469</v>
      </c>
      <c r="T11" s="77">
        <f>IFERROR(VLOOKUP(A11,Calculations!$C$6:$AI$136,25,FALSE),"")</f>
        <v>0.94594594594594594</v>
      </c>
      <c r="U11" s="77" t="str">
        <f>IFERROR(VLOOKUP(A11,Calculations!$C$6:$AI$136,26,FALSE),"")</f>
        <v/>
      </c>
      <c r="V11" s="77" t="str">
        <f>IFERROR(VLOOKUP(A11,Calculations!$C$6:$AI$136,27,FALSE),"")</f>
        <v/>
      </c>
      <c r="W11" s="77" t="str">
        <f>IFERROR(VLOOKUP(A11,Calculations!$C$6:$AI$136,32,FALSE),"")</f>
        <v/>
      </c>
      <c r="X11" s="77" t="str">
        <f>IFERROR(VLOOKUP(A11,Calculations!$C$6:$AI$136,33,FALSE),"")</f>
        <v/>
      </c>
      <c r="Y11" s="58">
        <f>IFERROR(VLOOKUP(A11,Calculations!$C$6:$AI$136,28,FALSE),"")</f>
        <v>4</v>
      </c>
      <c r="Z11" s="55">
        <f>IFERROR(VLOOKUP(A11,Calculations!$C$6:$AI$136,30,FALSE),"")</f>
        <v>0.8809709539760473</v>
      </c>
    </row>
    <row r="12" spans="1:27" ht="15" x14ac:dyDescent="0.3">
      <c r="A12" s="36">
        <v>10</v>
      </c>
      <c r="B12" s="142" t="str">
        <f>IFERROR(VLOOKUP(A12,Calculations!$C$6:$AI$136,4,FALSE),"")</f>
        <v>Stuart Noakes</v>
      </c>
      <c r="C12" s="75">
        <f>IFERROR(VLOOKUP(A12,Calculations!$C$6:$AI$136,5,FALSE),"")</f>
        <v>1888</v>
      </c>
      <c r="D12" s="75" t="str">
        <f>IFERROR(VLOOKUP(A12,Calculations!$C$6:$AI$136,6,FALSE),"")</f>
        <v>B</v>
      </c>
      <c r="E12" s="75" t="str">
        <f>IFERROR(VLOOKUP(A12,Calculations!$C$6:$AI$136,9,FALSE),"")</f>
        <v>PCP</v>
      </c>
      <c r="F12" s="75" t="str">
        <f>IFERROR(VLOOKUP(A12,Calculations!$C$6:$AI$136,10,FALSE),"")</f>
        <v>Frobury</v>
      </c>
      <c r="G12" s="76">
        <f>IFERROR(VLOOKUP(A12,Calculations!$C$6:$AI$136,12,FALSE),"")</f>
        <v>29</v>
      </c>
      <c r="H12" s="76">
        <f>IFERROR(VLOOKUP(A12,Calculations!$C$6:$AI$136,13,FALSE),"")</f>
        <v>17</v>
      </c>
      <c r="I12" s="76">
        <f>IFERROR(VLOOKUP(A12,Calculations!$C$6:$AI$136,14,FALSE),"")</f>
        <v>28</v>
      </c>
      <c r="J12" s="76">
        <f>IFERROR(VLOOKUP(A12,Calculations!$C$6:$AI$136,15,FALSE),"")</f>
        <v>31</v>
      </c>
      <c r="K12" s="76">
        <f>IFERROR(VLOOKUP(A12,Calculations!$C$6:$AI$136,16,FALSE),"")</f>
        <v>31</v>
      </c>
      <c r="L12" s="76">
        <f>IFERROR(VLOOKUP(A12,Calculations!$C$6:$AI$136,17,FALSE),"")</f>
        <v>35</v>
      </c>
      <c r="M12" s="76" t="str">
        <f>IFERROR(VLOOKUP(A12,Calculations!$C$6:$AI$136,18,FALSE),"")</f>
        <v/>
      </c>
      <c r="N12" s="76" t="str">
        <f>IFERROR(VLOOKUP(A12,Calculations!$C$6:$AI$136,19,FALSE),"")</f>
        <v/>
      </c>
      <c r="O12" s="77">
        <f>IFERROR(VLOOKUP(A12,Calculations!$C$6:$AI$136,20,FALSE),"")</f>
        <v>0.78378378378378377</v>
      </c>
      <c r="P12" s="77">
        <f>IFERROR(VLOOKUP(A12,Calculations!$C$6:$AI$136,21,FALSE),"")</f>
        <v>0.54838709677419351</v>
      </c>
      <c r="Q12" s="77">
        <f>IFERROR(VLOOKUP(A12,Calculations!$C$6:$AI$136,22,FALSE),"")</f>
        <v>0.7567567567567568</v>
      </c>
      <c r="R12" s="77">
        <f>IFERROR(VLOOKUP(A12,Calculations!$C$6:$AI$136,23,FALSE),"")</f>
        <v>0.86111111111111116</v>
      </c>
      <c r="S12" s="77">
        <f>IFERROR(VLOOKUP(A12,Calculations!$C$6:$AI$136,24,FALSE),"")</f>
        <v>0.81578947368421051</v>
      </c>
      <c r="T12" s="77">
        <f>IFERROR(VLOOKUP(A12,Calculations!$C$6:$AI$136,25,FALSE),"")</f>
        <v>0.94594594594594594</v>
      </c>
      <c r="U12" s="77" t="str">
        <f>IFERROR(VLOOKUP(A12,Calculations!$C$6:$AI$136,26,FALSE),"")</f>
        <v/>
      </c>
      <c r="V12" s="77" t="str">
        <f>IFERROR(VLOOKUP(A12,Calculations!$C$6:$AI$136,27,FALSE),"")</f>
        <v/>
      </c>
      <c r="W12" s="77" t="str">
        <f>IFERROR(VLOOKUP(A12,Calculations!$C$6:$AI$136,32,FALSE),"")</f>
        <v/>
      </c>
      <c r="X12" s="77">
        <f>IFERROR(VLOOKUP(A12,Calculations!$C$6:$AI$136,33,FALSE),"")</f>
        <v>0.54838709677419351</v>
      </c>
      <c r="Y12" s="58">
        <f>IFERROR(VLOOKUP(A12,Calculations!$C$6:$AI$136,28,FALSE),"")</f>
        <v>6</v>
      </c>
      <c r="Z12" s="55">
        <f>IFERROR(VLOOKUP(A12,Calculations!$C$6:$AI$136,30,FALSE),"")</f>
        <v>0.8516575786312629</v>
      </c>
    </row>
    <row r="13" spans="1:27" ht="15" x14ac:dyDescent="0.3">
      <c r="A13" s="36">
        <v>11</v>
      </c>
      <c r="B13" s="142" t="str">
        <f>IFERROR(VLOOKUP(A13,Calculations!$C$6:$AI$136,4,FALSE),"")</f>
        <v>Trevor Turner</v>
      </c>
      <c r="C13" s="75">
        <f>IFERROR(VLOOKUP(A13,Calculations!$C$6:$AI$136,5,FALSE),"")</f>
        <v>1918</v>
      </c>
      <c r="D13" s="75" t="str">
        <f>IFERROR(VLOOKUP(A13,Calculations!$C$6:$AI$136,6,FALSE),"")</f>
        <v>B</v>
      </c>
      <c r="E13" s="75" t="str">
        <f>IFERROR(VLOOKUP(A13,Calculations!$C$6:$AI$136,9,FALSE),"")</f>
        <v>PCP</v>
      </c>
      <c r="F13" s="75" t="str">
        <f>IFERROR(VLOOKUP(A13,Calculations!$C$6:$AI$136,10,FALSE),"")</f>
        <v>Carisbrooke</v>
      </c>
      <c r="G13" s="76" t="str">
        <f>IFERROR(VLOOKUP(A13,Calculations!$C$6:$AI$136,12,FALSE),"")</f>
        <v/>
      </c>
      <c r="H13" s="76">
        <f>IFERROR(VLOOKUP(A13,Calculations!$C$6:$AI$136,13,FALSE),"")</f>
        <v>25</v>
      </c>
      <c r="I13" s="76">
        <f>IFERROR(VLOOKUP(A13,Calculations!$C$6:$AI$136,14,FALSE),"")</f>
        <v>29</v>
      </c>
      <c r="J13" s="76">
        <f>IFERROR(VLOOKUP(A13,Calculations!$C$6:$AI$136,15,FALSE),"")</f>
        <v>26</v>
      </c>
      <c r="K13" s="76">
        <f>IFERROR(VLOOKUP(A13,Calculations!$C$6:$AI$136,16,FALSE),"")</f>
        <v>34</v>
      </c>
      <c r="L13" s="76">
        <f>IFERROR(VLOOKUP(A13,Calculations!$C$6:$AI$136,17,FALSE),"")</f>
        <v>29</v>
      </c>
      <c r="M13" s="76" t="str">
        <f>IFERROR(VLOOKUP(A13,Calculations!$C$6:$AI$136,18,FALSE),"")</f>
        <v/>
      </c>
      <c r="N13" s="76" t="str">
        <f>IFERROR(VLOOKUP(A13,Calculations!$C$6:$AI$136,19,FALSE),"")</f>
        <v/>
      </c>
      <c r="O13" s="77" t="str">
        <f>IFERROR(VLOOKUP(A13,Calculations!$C$6:$AI$136,20,FALSE),"")</f>
        <v/>
      </c>
      <c r="P13" s="77">
        <f>IFERROR(VLOOKUP(A13,Calculations!$C$6:$AI$136,21,FALSE),"")</f>
        <v>0.80645161290322576</v>
      </c>
      <c r="Q13" s="77">
        <f>IFERROR(VLOOKUP(A13,Calculations!$C$6:$AI$136,22,FALSE),"")</f>
        <v>0.78378378378378377</v>
      </c>
      <c r="R13" s="77">
        <f>IFERROR(VLOOKUP(A13,Calculations!$C$6:$AI$136,23,FALSE),"")</f>
        <v>0.72222222222222221</v>
      </c>
      <c r="S13" s="77">
        <f>IFERROR(VLOOKUP(A13,Calculations!$C$6:$AI$136,24,FALSE),"")</f>
        <v>0.89473684210526316</v>
      </c>
      <c r="T13" s="77">
        <f>IFERROR(VLOOKUP(A13,Calculations!$C$6:$AI$136,25,FALSE),"")</f>
        <v>0.78378378378378377</v>
      </c>
      <c r="U13" s="77" t="str">
        <f>IFERROR(VLOOKUP(A13,Calculations!$C$6:$AI$136,26,FALSE),"")</f>
        <v/>
      </c>
      <c r="V13" s="77" t="str">
        <f>IFERROR(VLOOKUP(A13,Calculations!$C$6:$AI$136,27,FALSE),"")</f>
        <v/>
      </c>
      <c r="W13" s="77">
        <f>IFERROR(VLOOKUP(A13,Calculations!$C$6:$AI$136,32,FALSE),"")</f>
        <v>0.72222222222222221</v>
      </c>
      <c r="X13" s="77" t="str">
        <f>IFERROR(VLOOKUP(A13,Calculations!$C$6:$AI$136,33,FALSE),"")</f>
        <v/>
      </c>
      <c r="Y13" s="58">
        <f>IFERROR(VLOOKUP(A13,Calculations!$C$6:$AI$136,28,FALSE),"")</f>
        <v>5</v>
      </c>
      <c r="Z13" s="55">
        <f>IFERROR(VLOOKUP(A13,Calculations!$C$6:$AI$136,30,FALSE),"")</f>
        <v>0.81718900564401409</v>
      </c>
    </row>
    <row r="14" spans="1:27" ht="15" x14ac:dyDescent="0.3">
      <c r="A14" s="36">
        <v>12</v>
      </c>
      <c r="B14" s="142" t="str">
        <f>IFERROR(VLOOKUP(A14,Calculations!$C$6:$AI$136,4,FALSE),"")</f>
        <v>Clinton Bedding</v>
      </c>
      <c r="C14" s="75">
        <f>IFERROR(VLOOKUP(A14,Calculations!$C$6:$AI$136,5,FALSE),"")</f>
        <v>447</v>
      </c>
      <c r="D14" s="75" t="str">
        <f>IFERROR(VLOOKUP(A14,Calculations!$C$6:$AI$136,6,FALSE),"")</f>
        <v>A</v>
      </c>
      <c r="E14" s="75" t="str">
        <f>IFERROR(VLOOKUP(A14,Calculations!$C$6:$AI$136,9,FALSE),"")</f>
        <v>PCP</v>
      </c>
      <c r="F14" s="75" t="str">
        <f>IFERROR(VLOOKUP(A14,Calculations!$C$6:$AI$136,10,FALSE),"")</f>
        <v>Weston Warrior</v>
      </c>
      <c r="G14" s="76">
        <f>IFERROR(VLOOKUP(A14,Calculations!$C$6:$AI$136,12,FALSE),"")</f>
        <v>29</v>
      </c>
      <c r="H14" s="76">
        <f>IFERROR(VLOOKUP(A14,Calculations!$C$6:$AI$136,13,FALSE),"")</f>
        <v>24</v>
      </c>
      <c r="I14" s="76">
        <f>IFERROR(VLOOKUP(A14,Calculations!$C$6:$AI$136,14,FALSE),"")</f>
        <v>30</v>
      </c>
      <c r="J14" s="76">
        <f>IFERROR(VLOOKUP(A14,Calculations!$C$6:$AI$136,15,FALSE),"")</f>
        <v>29</v>
      </c>
      <c r="K14" s="76">
        <f>IFERROR(VLOOKUP(A14,Calculations!$C$6:$AI$136,16,FALSE),"")</f>
        <v>30</v>
      </c>
      <c r="L14" s="76">
        <f>IFERROR(VLOOKUP(A14,Calculations!$C$6:$AI$136,17,FALSE),"")</f>
        <v>30</v>
      </c>
      <c r="M14" s="76" t="str">
        <f>IFERROR(VLOOKUP(A14,Calculations!$C$6:$AI$136,18,FALSE),"")</f>
        <v/>
      </c>
      <c r="N14" s="76" t="str">
        <f>IFERROR(VLOOKUP(A14,Calculations!$C$6:$AI$136,19,FALSE),"")</f>
        <v/>
      </c>
      <c r="O14" s="77">
        <f>IFERROR(VLOOKUP(A14,Calculations!$C$6:$AI$136,20,FALSE),"")</f>
        <v>0.78378378378378377</v>
      </c>
      <c r="P14" s="77">
        <f>IFERROR(VLOOKUP(A14,Calculations!$C$6:$AI$136,21,FALSE),"")</f>
        <v>0.77419354838709675</v>
      </c>
      <c r="Q14" s="77">
        <f>IFERROR(VLOOKUP(A14,Calculations!$C$6:$AI$136,22,FALSE),"")</f>
        <v>0.81081081081081086</v>
      </c>
      <c r="R14" s="77">
        <f>IFERROR(VLOOKUP(A14,Calculations!$C$6:$AI$136,23,FALSE),"")</f>
        <v>0.80555555555555558</v>
      </c>
      <c r="S14" s="77">
        <f>IFERROR(VLOOKUP(A14,Calculations!$C$6:$AI$136,24,FALSE),"")</f>
        <v>0.78947368421052633</v>
      </c>
      <c r="T14" s="77">
        <f>IFERROR(VLOOKUP(A14,Calculations!$C$6:$AI$136,25,FALSE),"")</f>
        <v>0.81081081081081086</v>
      </c>
      <c r="U14" s="77" t="str">
        <f>IFERROR(VLOOKUP(A14,Calculations!$C$6:$AI$136,26,FALSE),"")</f>
        <v/>
      </c>
      <c r="V14" s="77" t="str">
        <f>IFERROR(VLOOKUP(A14,Calculations!$C$6:$AI$136,27,FALSE),"")</f>
        <v/>
      </c>
      <c r="W14" s="77" t="str">
        <f>IFERROR(VLOOKUP(A14,Calculations!$C$6:$AI$136,32,FALSE),"")</f>
        <v/>
      </c>
      <c r="X14" s="77">
        <f>IFERROR(VLOOKUP(A14,Calculations!$C$6:$AI$136,33,FALSE),"")</f>
        <v>0.77419354838709675</v>
      </c>
      <c r="Y14" s="58">
        <f>IFERROR(VLOOKUP(A14,Calculations!$C$6:$AI$136,28,FALSE),"")</f>
        <v>6</v>
      </c>
      <c r="Z14" s="55">
        <f>IFERROR(VLOOKUP(A14,Calculations!$C$6:$AI$136,30,FALSE),"")</f>
        <v>0.80416271534692596</v>
      </c>
    </row>
    <row r="15" spans="1:27" ht="15" x14ac:dyDescent="0.3">
      <c r="A15" s="36">
        <v>13</v>
      </c>
      <c r="B15" s="142" t="str">
        <f>IFERROR(VLOOKUP(A15,Calculations!$C$6:$AI$136,4,FALSE),"")</f>
        <v>Charlene Summerfield</v>
      </c>
      <c r="C15" s="75">
        <f>IFERROR(VLOOKUP(A15,Calculations!$C$6:$AI$136,5,FALSE),"")</f>
        <v>1914</v>
      </c>
      <c r="D15" s="75" t="str">
        <f>IFERROR(VLOOKUP(A15,Calculations!$C$6:$AI$136,6,FALSE),"")</f>
        <v>B</v>
      </c>
      <c r="E15" s="75" t="str">
        <f>IFERROR(VLOOKUP(A15,Calculations!$C$6:$AI$136,9,FALSE),"")</f>
        <v>PCP</v>
      </c>
      <c r="F15" s="75" t="str">
        <f>IFERROR(VLOOKUP(A15,Calculations!$C$6:$AI$136,10,FALSE),"")</f>
        <v>Carisbrooke</v>
      </c>
      <c r="G15" s="76">
        <f>IFERROR(VLOOKUP(A15,Calculations!$C$6:$AI$136,12,FALSE),"")</f>
        <v>28</v>
      </c>
      <c r="H15" s="76">
        <f>IFERROR(VLOOKUP(A15,Calculations!$C$6:$AI$136,13,FALSE),"")</f>
        <v>18</v>
      </c>
      <c r="I15" s="76">
        <f>IFERROR(VLOOKUP(A15,Calculations!$C$6:$AI$136,14,FALSE),"")</f>
        <v>27</v>
      </c>
      <c r="J15" s="76">
        <f>IFERROR(VLOOKUP(A15,Calculations!$C$6:$AI$136,15,FALSE),"")</f>
        <v>29</v>
      </c>
      <c r="K15" s="76">
        <f>IFERROR(VLOOKUP(A15,Calculations!$C$6:$AI$136,16,FALSE),"")</f>
        <v>31</v>
      </c>
      <c r="L15" s="76">
        <f>IFERROR(VLOOKUP(A15,Calculations!$C$6:$AI$136,17,FALSE),"")</f>
        <v>27</v>
      </c>
      <c r="M15" s="76" t="str">
        <f>IFERROR(VLOOKUP(A15,Calculations!$C$6:$AI$136,18,FALSE),"")</f>
        <v/>
      </c>
      <c r="N15" s="76" t="str">
        <f>IFERROR(VLOOKUP(A15,Calculations!$C$6:$AI$136,19,FALSE),"")</f>
        <v/>
      </c>
      <c r="O15" s="77">
        <f>IFERROR(VLOOKUP(A15,Calculations!$C$6:$AI$136,20,FALSE),"")</f>
        <v>0.7567567567567568</v>
      </c>
      <c r="P15" s="77">
        <f>IFERROR(VLOOKUP(A15,Calculations!$C$6:$AI$136,21,FALSE),"")</f>
        <v>0.58064516129032262</v>
      </c>
      <c r="Q15" s="77">
        <f>IFERROR(VLOOKUP(A15,Calculations!$C$6:$AI$136,22,FALSE),"")</f>
        <v>0.72972972972972971</v>
      </c>
      <c r="R15" s="77">
        <f>IFERROR(VLOOKUP(A15,Calculations!$C$6:$AI$136,23,FALSE),"")</f>
        <v>0.80555555555555558</v>
      </c>
      <c r="S15" s="77">
        <f>IFERROR(VLOOKUP(A15,Calculations!$C$6:$AI$136,24,FALSE),"")</f>
        <v>0.81578947368421051</v>
      </c>
      <c r="T15" s="77">
        <f>IFERROR(VLOOKUP(A15,Calculations!$C$6:$AI$136,25,FALSE),"")</f>
        <v>0.72972972972972971</v>
      </c>
      <c r="U15" s="77" t="str">
        <f>IFERROR(VLOOKUP(A15,Calculations!$C$6:$AI$136,26,FALSE),"")</f>
        <v/>
      </c>
      <c r="V15" s="77" t="str">
        <f>IFERROR(VLOOKUP(A15,Calculations!$C$6:$AI$136,27,FALSE),"")</f>
        <v/>
      </c>
      <c r="W15" s="77" t="str">
        <f>IFERROR(VLOOKUP(A15,Calculations!$C$6:$AI$136,32,FALSE),"")</f>
        <v/>
      </c>
      <c r="X15" s="77">
        <f>IFERROR(VLOOKUP(A15,Calculations!$C$6:$AI$136,33,FALSE),"")</f>
        <v>0.58064516129032262</v>
      </c>
      <c r="Y15" s="58">
        <f>IFERROR(VLOOKUP(A15,Calculations!$C$6:$AI$136,28,FALSE),"")</f>
        <v>6</v>
      </c>
      <c r="Z15" s="55">
        <f>IFERROR(VLOOKUP(A15,Calculations!$C$6:$AI$136,30,FALSE),"")</f>
        <v>0.77695787893156321</v>
      </c>
    </row>
    <row r="16" spans="1:27" ht="15" x14ac:dyDescent="0.3">
      <c r="A16" s="36">
        <v>14</v>
      </c>
      <c r="B16" s="142" t="str">
        <f>IFERROR(VLOOKUP(A16,Calculations!$C$6:$AI$136,4,FALSE),"")</f>
        <v>Geoff Ames</v>
      </c>
      <c r="C16" s="75">
        <f>IFERROR(VLOOKUP(A16,Calculations!$C$6:$AI$136,5,FALSE),"")</f>
        <v>1301</v>
      </c>
      <c r="D16" s="75" t="str">
        <f>IFERROR(VLOOKUP(A16,Calculations!$C$6:$AI$136,6,FALSE),"")</f>
        <v>B</v>
      </c>
      <c r="E16" s="75" t="str">
        <f>IFERROR(VLOOKUP(A16,Calculations!$C$6:$AI$136,9,FALSE),"")</f>
        <v>PCP</v>
      </c>
      <c r="F16" s="75" t="str">
        <f>IFERROR(VLOOKUP(A16,Calculations!$C$6:$AI$136,10,FALSE),"")</f>
        <v>Buccaneers</v>
      </c>
      <c r="G16" s="76" t="str">
        <f>IFERROR(VLOOKUP(A16,Calculations!$C$6:$AI$136,12,FALSE),"")</f>
        <v/>
      </c>
      <c r="H16" s="76">
        <f>IFERROR(VLOOKUP(A16,Calculations!$C$6:$AI$136,13,FALSE),"")</f>
        <v>25</v>
      </c>
      <c r="I16" s="76">
        <f>IFERROR(VLOOKUP(A16,Calculations!$C$6:$AI$136,14,FALSE),"")</f>
        <v>22</v>
      </c>
      <c r="J16" s="76">
        <f>IFERROR(VLOOKUP(A16,Calculations!$C$6:$AI$136,15,FALSE),"")</f>
        <v>28</v>
      </c>
      <c r="K16" s="76">
        <f>IFERROR(VLOOKUP(A16,Calculations!$C$6:$AI$136,16,FALSE),"")</f>
        <v>27</v>
      </c>
      <c r="L16" s="76">
        <f>IFERROR(VLOOKUP(A16,Calculations!$C$6:$AI$136,17,FALSE),"")</f>
        <v>29</v>
      </c>
      <c r="M16" s="76" t="str">
        <f>IFERROR(VLOOKUP(A16,Calculations!$C$6:$AI$136,18,FALSE),"")</f>
        <v/>
      </c>
      <c r="N16" s="76" t="str">
        <f>IFERROR(VLOOKUP(A16,Calculations!$C$6:$AI$136,19,FALSE),"")</f>
        <v/>
      </c>
      <c r="O16" s="77" t="str">
        <f>IFERROR(VLOOKUP(A16,Calculations!$C$6:$AI$136,20,FALSE),"")</f>
        <v/>
      </c>
      <c r="P16" s="77">
        <f>IFERROR(VLOOKUP(A16,Calculations!$C$6:$AI$136,21,FALSE),"")</f>
        <v>0.80645161290322576</v>
      </c>
      <c r="Q16" s="77">
        <f>IFERROR(VLOOKUP(A16,Calculations!$C$6:$AI$136,22,FALSE),"")</f>
        <v>0.59459459459459463</v>
      </c>
      <c r="R16" s="77">
        <f>IFERROR(VLOOKUP(A16,Calculations!$C$6:$AI$136,23,FALSE),"")</f>
        <v>0.77777777777777779</v>
      </c>
      <c r="S16" s="77">
        <f>IFERROR(VLOOKUP(A16,Calculations!$C$6:$AI$136,24,FALSE),"")</f>
        <v>0.71052631578947367</v>
      </c>
      <c r="T16" s="77">
        <f>IFERROR(VLOOKUP(A16,Calculations!$C$6:$AI$136,25,FALSE),"")</f>
        <v>0.78378378378378377</v>
      </c>
      <c r="U16" s="77" t="str">
        <f>IFERROR(VLOOKUP(A16,Calculations!$C$6:$AI$136,26,FALSE),"")</f>
        <v/>
      </c>
      <c r="V16" s="77" t="str">
        <f>IFERROR(VLOOKUP(A16,Calculations!$C$6:$AI$136,27,FALSE),"")</f>
        <v/>
      </c>
      <c r="W16" s="77">
        <f>IFERROR(VLOOKUP(A16,Calculations!$C$6:$AI$136,32,FALSE),"")</f>
        <v>0.59459459459459463</v>
      </c>
      <c r="X16" s="77" t="str">
        <f>IFERROR(VLOOKUP(A16,Calculations!$C$6:$AI$136,33,FALSE),"")</f>
        <v/>
      </c>
      <c r="Y16" s="58">
        <f>IFERROR(VLOOKUP(A16,Calculations!$C$6:$AI$136,28,FALSE),"")</f>
        <v>5</v>
      </c>
      <c r="Z16" s="55">
        <f>IFERROR(VLOOKUP(A16,Calculations!$C$6:$AI$136,30,FALSE),"")</f>
        <v>0.76963487256356533</v>
      </c>
    </row>
    <row r="17" spans="1:26" ht="15" x14ac:dyDescent="0.3">
      <c r="A17" s="36">
        <v>15</v>
      </c>
      <c r="B17" s="142" t="str">
        <f>IFERROR(VLOOKUP(A17,Calculations!$C$6:$AI$136,4,FALSE),"")</f>
        <v>Andy Winch</v>
      </c>
      <c r="C17" s="75">
        <f>IFERROR(VLOOKUP(A17,Calculations!$C$6:$AI$136,5,FALSE),"")</f>
        <v>93</v>
      </c>
      <c r="D17" s="75" t="str">
        <f>IFERROR(VLOOKUP(A17,Calculations!$C$6:$AI$136,6,FALSE),"")</f>
        <v>B</v>
      </c>
      <c r="E17" s="75" t="str">
        <f>IFERROR(VLOOKUP(A17,Calculations!$C$6:$AI$136,9,FALSE),"")</f>
        <v>PCP</v>
      </c>
      <c r="F17" s="75" t="str">
        <f>IFERROR(VLOOKUP(A17,Calculations!$C$6:$AI$136,10,FALSE),"")</f>
        <v>Carisbrooke</v>
      </c>
      <c r="G17" s="76">
        <f>IFERROR(VLOOKUP(A17,Calculations!$C$6:$AI$136,12,FALSE),"")</f>
        <v>28</v>
      </c>
      <c r="H17" s="76">
        <f>IFERROR(VLOOKUP(A17,Calculations!$C$6:$AI$136,13,FALSE),"")</f>
        <v>26</v>
      </c>
      <c r="I17" s="76" t="str">
        <f>IFERROR(VLOOKUP(A17,Calculations!$C$6:$AI$136,14,FALSE),"")</f>
        <v/>
      </c>
      <c r="J17" s="76">
        <f>IFERROR(VLOOKUP(A17,Calculations!$C$6:$AI$136,15,FALSE),"")</f>
        <v>23</v>
      </c>
      <c r="K17" s="76" t="str">
        <f>IFERROR(VLOOKUP(A17,Calculations!$C$6:$AI$136,16,FALSE),"")</f>
        <v/>
      </c>
      <c r="L17" s="76">
        <f>IFERROR(VLOOKUP(A17,Calculations!$C$6:$AI$136,17,FALSE),"")</f>
        <v>31</v>
      </c>
      <c r="M17" s="76" t="str">
        <f>IFERROR(VLOOKUP(A17,Calculations!$C$6:$AI$136,18,FALSE),"")</f>
        <v/>
      </c>
      <c r="N17" s="76" t="str">
        <f>IFERROR(VLOOKUP(A17,Calculations!$C$6:$AI$136,19,FALSE),"")</f>
        <v/>
      </c>
      <c r="O17" s="77">
        <f>IFERROR(VLOOKUP(A17,Calculations!$C$6:$AI$136,20,FALSE),"")</f>
        <v>0.7567567567567568</v>
      </c>
      <c r="P17" s="77">
        <f>IFERROR(VLOOKUP(A17,Calculations!$C$6:$AI$136,21,FALSE),"")</f>
        <v>0.83870967741935487</v>
      </c>
      <c r="Q17" s="77" t="str">
        <f>IFERROR(VLOOKUP(A17,Calculations!$C$6:$AI$136,22,FALSE),"")</f>
        <v/>
      </c>
      <c r="R17" s="77">
        <f>IFERROR(VLOOKUP(A17,Calculations!$C$6:$AI$136,23,FALSE),"")</f>
        <v>0.63888888888888884</v>
      </c>
      <c r="S17" s="77" t="str">
        <f>IFERROR(VLOOKUP(A17,Calculations!$C$6:$AI$136,24,FALSE),"")</f>
        <v/>
      </c>
      <c r="T17" s="77">
        <f>IFERROR(VLOOKUP(A17,Calculations!$C$6:$AI$136,25,FALSE),"")</f>
        <v>0.83783783783783783</v>
      </c>
      <c r="U17" s="77" t="str">
        <f>IFERROR(VLOOKUP(A17,Calculations!$C$6:$AI$136,26,FALSE),"")</f>
        <v/>
      </c>
      <c r="V17" s="77" t="str">
        <f>IFERROR(VLOOKUP(A17,Calculations!$C$6:$AI$136,27,FALSE),"")</f>
        <v/>
      </c>
      <c r="W17" s="77" t="str">
        <f>IFERROR(VLOOKUP(A17,Calculations!$C$6:$AI$136,32,FALSE),"")</f>
        <v/>
      </c>
      <c r="X17" s="77" t="str">
        <f>IFERROR(VLOOKUP(A17,Calculations!$C$6:$AI$136,33,FALSE),"")</f>
        <v/>
      </c>
      <c r="Y17" s="58">
        <f>IFERROR(VLOOKUP(A17,Calculations!$C$6:$AI$136,28,FALSE),"")</f>
        <v>4</v>
      </c>
      <c r="Z17" s="55">
        <f>IFERROR(VLOOKUP(A17,Calculations!$C$6:$AI$136,30,FALSE),"")</f>
        <v>0.76804829022570964</v>
      </c>
    </row>
    <row r="18" spans="1:26" ht="15" x14ac:dyDescent="0.3">
      <c r="A18" s="36">
        <v>16</v>
      </c>
      <c r="B18" s="35" t="str">
        <f>IFERROR(VLOOKUP(A18,Calculations!$C$6:$AI$136,4,FALSE),"")</f>
        <v/>
      </c>
      <c r="C18" s="75" t="str">
        <f>IFERROR(VLOOKUP(A18,Calculations!$C$6:$AI$136,5,FALSE),"")</f>
        <v/>
      </c>
      <c r="D18" s="75" t="str">
        <f>IFERROR(VLOOKUP(A18,Calculations!$C$6:$AI$136,6,FALSE),"")</f>
        <v/>
      </c>
      <c r="E18" s="75" t="str">
        <f>IFERROR(VLOOKUP(A18,Calculations!$C$6:$AI$136,9,FALSE),"")</f>
        <v/>
      </c>
      <c r="F18" s="75" t="str">
        <f>IFERROR(VLOOKUP(A18,Calculations!$C$6:$AI$136,10,FALSE),"")</f>
        <v/>
      </c>
      <c r="G18" s="76" t="str">
        <f>IFERROR(VLOOKUP(A18,Calculations!$C$6:$AI$136,12,FALSE),"")</f>
        <v/>
      </c>
      <c r="H18" s="76" t="str">
        <f>IFERROR(VLOOKUP(A18,Calculations!$C$6:$AI$136,13,FALSE),"")</f>
        <v/>
      </c>
      <c r="I18" s="76" t="str">
        <f>IFERROR(VLOOKUP(A18,Calculations!$C$6:$AI$136,14,FALSE),"")</f>
        <v/>
      </c>
      <c r="J18" s="76" t="str">
        <f>IFERROR(VLOOKUP(A18,Calculations!$C$6:$AI$136,15,FALSE),"")</f>
        <v/>
      </c>
      <c r="K18" s="76" t="str">
        <f>IFERROR(VLOOKUP(A18,Calculations!$C$6:$AI$136,16,FALSE),"")</f>
        <v/>
      </c>
      <c r="L18" s="76" t="str">
        <f>IFERROR(VLOOKUP(A18,Calculations!$C$6:$AI$136,17,FALSE),"")</f>
        <v/>
      </c>
      <c r="M18" s="76" t="str">
        <f>IFERROR(VLOOKUP(A18,Calculations!$C$6:$AI$136,18,FALSE),"")</f>
        <v/>
      </c>
      <c r="N18" s="76" t="str">
        <f>IFERROR(VLOOKUP(A18,Calculations!$C$6:$AI$136,19,FALSE),"")</f>
        <v/>
      </c>
      <c r="O18" s="77" t="str">
        <f>IFERROR(VLOOKUP(A18,Calculations!$C$6:$AI$136,20,FALSE),"")</f>
        <v/>
      </c>
      <c r="P18" s="77" t="str">
        <f>IFERROR(VLOOKUP(A18,Calculations!$C$6:$AI$136,21,FALSE),"")</f>
        <v/>
      </c>
      <c r="Q18" s="77" t="str">
        <f>IFERROR(VLOOKUP(A18,Calculations!$C$6:$AI$136,22,FALSE),"")</f>
        <v/>
      </c>
      <c r="R18" s="77" t="str">
        <f>IFERROR(VLOOKUP(A18,Calculations!$C$6:$AI$136,23,FALSE),"")</f>
        <v/>
      </c>
      <c r="S18" s="77" t="str">
        <f>IFERROR(VLOOKUP(A18,Calculations!$C$6:$AI$136,24,FALSE),"")</f>
        <v/>
      </c>
      <c r="T18" s="77" t="str">
        <f>IFERROR(VLOOKUP(A18,Calculations!$C$6:$AI$136,25,FALSE),"")</f>
        <v/>
      </c>
      <c r="U18" s="77" t="str">
        <f>IFERROR(VLOOKUP(A18,Calculations!$C$6:$AI$136,26,FALSE),"")</f>
        <v/>
      </c>
      <c r="V18" s="77" t="str">
        <f>IFERROR(VLOOKUP(A18,Calculations!$C$6:$AI$136,27,FALSE),"")</f>
        <v/>
      </c>
      <c r="W18" s="77" t="str">
        <f>IFERROR(VLOOKUP(A18,Calculations!$C$6:$AI$136,32,FALSE),"")</f>
        <v/>
      </c>
      <c r="X18" s="77" t="str">
        <f>IFERROR(VLOOKUP(A18,Calculations!$C$6:$AI$136,33,FALSE),"")</f>
        <v/>
      </c>
      <c r="Y18" s="58" t="str">
        <f>IFERROR(VLOOKUP(A18,Calculations!$C$6:$AI$136,28,FALSE),"")</f>
        <v/>
      </c>
      <c r="Z18" s="55" t="str">
        <f>IFERROR(VLOOKUP(A18,Calculations!$C$6:$AI$136,30,FALSE),"")</f>
        <v/>
      </c>
    </row>
    <row r="19" spans="1:26" ht="15" x14ac:dyDescent="0.3">
      <c r="A19" s="36">
        <v>17</v>
      </c>
      <c r="B19" s="35" t="str">
        <f>IFERROR(VLOOKUP(A19,Calculations!$C$6:$AI$136,4,FALSE),"")</f>
        <v>Andy Baxter</v>
      </c>
      <c r="C19" s="75">
        <f>IFERROR(VLOOKUP(A19,Calculations!$C$6:$AI$136,5,FALSE),"")</f>
        <v>1916</v>
      </c>
      <c r="D19" s="75" t="str">
        <f>IFERROR(VLOOKUP(A19,Calculations!$C$6:$AI$136,6,FALSE),"")</f>
        <v>A</v>
      </c>
      <c r="E19" s="75" t="str">
        <f>IFERROR(VLOOKUP(A19,Calculations!$C$6:$AI$136,9,FALSE),"")</f>
        <v>PCP</v>
      </c>
      <c r="F19" s="75" t="str">
        <f>IFERROR(VLOOKUP(A19,Calculations!$C$6:$AI$136,10,FALSE),"")</f>
        <v>Carisbrooke</v>
      </c>
      <c r="G19" s="76">
        <f>IFERROR(VLOOKUP(A19,Calculations!$C$6:$AI$136,12,FALSE),"")</f>
        <v>27</v>
      </c>
      <c r="H19" s="76">
        <f>IFERROR(VLOOKUP(A19,Calculations!$C$6:$AI$136,13,FALSE),"")</f>
        <v>26</v>
      </c>
      <c r="I19" s="76">
        <f>IFERROR(VLOOKUP(A19,Calculations!$C$6:$AI$136,14,FALSE),"")</f>
        <v>27</v>
      </c>
      <c r="J19" s="76">
        <f>IFERROR(VLOOKUP(A19,Calculations!$C$6:$AI$136,15,FALSE),"")</f>
        <v>23</v>
      </c>
      <c r="K19" s="76">
        <f>IFERROR(VLOOKUP(A19,Calculations!$C$6:$AI$136,16,FALSE),"")</f>
        <v>21</v>
      </c>
      <c r="L19" s="76">
        <f>IFERROR(VLOOKUP(A19,Calculations!$C$6:$AI$136,17,FALSE),"")</f>
        <v>28</v>
      </c>
      <c r="M19" s="76" t="str">
        <f>IFERROR(VLOOKUP(A19,Calculations!$C$6:$AI$136,18,FALSE),"")</f>
        <v/>
      </c>
      <c r="N19" s="76" t="str">
        <f>IFERROR(VLOOKUP(A19,Calculations!$C$6:$AI$136,19,FALSE),"")</f>
        <v/>
      </c>
      <c r="O19" s="77">
        <f>IFERROR(VLOOKUP(A19,Calculations!$C$6:$AI$136,20,FALSE),"")</f>
        <v>0.72972972972972971</v>
      </c>
      <c r="P19" s="77">
        <f>IFERROR(VLOOKUP(A19,Calculations!$C$6:$AI$136,21,FALSE),"")</f>
        <v>0.83870967741935487</v>
      </c>
      <c r="Q19" s="77">
        <f>IFERROR(VLOOKUP(A19,Calculations!$C$6:$AI$136,22,FALSE),"")</f>
        <v>0.72972972972972971</v>
      </c>
      <c r="R19" s="77">
        <f>IFERROR(VLOOKUP(A19,Calculations!$C$6:$AI$136,23,FALSE),"")</f>
        <v>0.63888888888888884</v>
      </c>
      <c r="S19" s="77">
        <f>IFERROR(VLOOKUP(A19,Calculations!$C$6:$AI$136,24,FALSE),"")</f>
        <v>0.55263157894736847</v>
      </c>
      <c r="T19" s="77">
        <f>IFERROR(VLOOKUP(A19,Calculations!$C$6:$AI$136,25,FALSE),"")</f>
        <v>0.7567567567567568</v>
      </c>
      <c r="U19" s="77" t="str">
        <f>IFERROR(VLOOKUP(A19,Calculations!$C$6:$AI$136,26,FALSE),"")</f>
        <v/>
      </c>
      <c r="V19" s="77" t="str">
        <f>IFERROR(VLOOKUP(A19,Calculations!$C$6:$AI$136,27,FALSE),"")</f>
        <v/>
      </c>
      <c r="W19" s="77" t="str">
        <f>IFERROR(VLOOKUP(A19,Calculations!$C$6:$AI$136,32,FALSE),"")</f>
        <v/>
      </c>
      <c r="X19" s="77">
        <f>IFERROR(VLOOKUP(A19,Calculations!$C$6:$AI$136,33,FALSE),"")</f>
        <v>0.55263157894736847</v>
      </c>
      <c r="Y19" s="58">
        <f>IFERROR(VLOOKUP(A19,Calculations!$C$6:$AI$136,28,FALSE),"")</f>
        <v>6</v>
      </c>
      <c r="Z19" s="55">
        <f>IFERROR(VLOOKUP(A19,Calculations!$C$6:$AI$136,30,FALSE),"")</f>
        <v>0.7637314734088928</v>
      </c>
    </row>
    <row r="20" spans="1:26" ht="15" x14ac:dyDescent="0.3">
      <c r="A20" s="36">
        <v>18</v>
      </c>
      <c r="B20" s="35" t="str">
        <f>IFERROR(VLOOKUP(A20,Calculations!$C$6:$AI$136,4,FALSE),"")</f>
        <v>Michael Woodhead</v>
      </c>
      <c r="C20" s="75">
        <f>IFERROR(VLOOKUP(A20,Calculations!$C$6:$AI$136,5,FALSE),"")</f>
        <v>59</v>
      </c>
      <c r="D20" s="75" t="str">
        <f>IFERROR(VLOOKUP(A20,Calculations!$C$6:$AI$136,6,FALSE),"")</f>
        <v>A</v>
      </c>
      <c r="E20" s="75" t="str">
        <f>IFERROR(VLOOKUP(A20,Calculations!$C$6:$AI$136,9,FALSE),"")</f>
        <v>PCP</v>
      </c>
      <c r="F20" s="75" t="str">
        <f>IFERROR(VLOOKUP(A20,Calculations!$C$6:$AI$136,10,FALSE),"")</f>
        <v>Frobury</v>
      </c>
      <c r="G20" s="76">
        <f>IFERROR(VLOOKUP(A20,Calculations!$C$6:$AI$136,12,FALSE),"")</f>
        <v>26</v>
      </c>
      <c r="H20" s="76">
        <f>IFERROR(VLOOKUP(A20,Calculations!$C$6:$AI$136,13,FALSE),"")</f>
        <v>26</v>
      </c>
      <c r="I20" s="76">
        <f>IFERROR(VLOOKUP(A20,Calculations!$C$6:$AI$136,14,FALSE),"")</f>
        <v>27</v>
      </c>
      <c r="J20" s="76">
        <f>IFERROR(VLOOKUP(A20,Calculations!$C$6:$AI$136,15,FALSE),"")</f>
        <v>23</v>
      </c>
      <c r="K20" s="76">
        <f>IFERROR(VLOOKUP(A20,Calculations!$C$6:$AI$136,16,FALSE),"")</f>
        <v>29</v>
      </c>
      <c r="L20" s="76">
        <f>IFERROR(VLOOKUP(A20,Calculations!$C$6:$AI$136,17,FALSE),"")</f>
        <v>25</v>
      </c>
      <c r="M20" s="76" t="str">
        <f>IFERROR(VLOOKUP(A20,Calculations!$C$6:$AI$136,18,FALSE),"")</f>
        <v/>
      </c>
      <c r="N20" s="76" t="str">
        <f>IFERROR(VLOOKUP(A20,Calculations!$C$6:$AI$136,19,FALSE),"")</f>
        <v/>
      </c>
      <c r="O20" s="77">
        <f>IFERROR(VLOOKUP(A20,Calculations!$C$6:$AI$136,20,FALSE),"")</f>
        <v>0.70270270270270274</v>
      </c>
      <c r="P20" s="77">
        <f>IFERROR(VLOOKUP(A20,Calculations!$C$6:$AI$136,21,FALSE),"")</f>
        <v>0.83870967741935487</v>
      </c>
      <c r="Q20" s="77">
        <f>IFERROR(VLOOKUP(A20,Calculations!$C$6:$AI$136,22,FALSE),"")</f>
        <v>0.72972972972972971</v>
      </c>
      <c r="R20" s="77">
        <f>IFERROR(VLOOKUP(A20,Calculations!$C$6:$AI$136,23,FALSE),"")</f>
        <v>0.63888888888888884</v>
      </c>
      <c r="S20" s="77">
        <f>IFERROR(VLOOKUP(A20,Calculations!$C$6:$AI$136,24,FALSE),"")</f>
        <v>0.76315789473684215</v>
      </c>
      <c r="T20" s="77">
        <f>IFERROR(VLOOKUP(A20,Calculations!$C$6:$AI$136,25,FALSE),"")</f>
        <v>0.67567567567567566</v>
      </c>
      <c r="U20" s="77" t="str">
        <f>IFERROR(VLOOKUP(A20,Calculations!$C$6:$AI$136,26,FALSE),"")</f>
        <v/>
      </c>
      <c r="V20" s="77" t="str">
        <f>IFERROR(VLOOKUP(A20,Calculations!$C$6:$AI$136,27,FALSE),"")</f>
        <v/>
      </c>
      <c r="W20" s="77" t="str">
        <f>IFERROR(VLOOKUP(A20,Calculations!$C$6:$AI$136,32,FALSE),"")</f>
        <v/>
      </c>
      <c r="X20" s="77">
        <f>IFERROR(VLOOKUP(A20,Calculations!$C$6:$AI$136,33,FALSE),"")</f>
        <v>0.63888888888888884</v>
      </c>
      <c r="Y20" s="58">
        <f>IFERROR(VLOOKUP(A20,Calculations!$C$6:$AI$136,28,FALSE),"")</f>
        <v>6</v>
      </c>
      <c r="Z20" s="55">
        <f>IFERROR(VLOOKUP(A20,Calculations!$C$6:$AI$136,30,FALSE),"")</f>
        <v>0.75857500114715737</v>
      </c>
    </row>
    <row r="21" spans="1:26" ht="15" x14ac:dyDescent="0.3">
      <c r="A21" s="36">
        <v>19</v>
      </c>
      <c r="B21" s="35" t="str">
        <f>IFERROR(VLOOKUP(A21,Calculations!$C$6:$AI$136,4,FALSE),"")</f>
        <v>Neil Mason</v>
      </c>
      <c r="C21" s="75">
        <f>IFERROR(VLOOKUP(A21,Calculations!$C$6:$AI$136,5,FALSE),"")</f>
        <v>1885</v>
      </c>
      <c r="D21" s="75" t="str">
        <f>IFERROR(VLOOKUP(A21,Calculations!$C$6:$AI$136,6,FALSE),"")</f>
        <v>B</v>
      </c>
      <c r="E21" s="75" t="str">
        <f>IFERROR(VLOOKUP(A21,Calculations!$C$6:$AI$136,9,FALSE),"")</f>
        <v>PCP</v>
      </c>
      <c r="F21" s="75" t="str">
        <f>IFERROR(VLOOKUP(A21,Calculations!$C$6:$AI$136,10,FALSE),"")</f>
        <v>Buccaneers</v>
      </c>
      <c r="G21" s="76">
        <f>IFERROR(VLOOKUP(A21,Calculations!$C$6:$AI$136,12,FALSE),"")</f>
        <v>30</v>
      </c>
      <c r="H21" s="76">
        <f>IFERROR(VLOOKUP(A21,Calculations!$C$6:$AI$136,13,FALSE),"")</f>
        <v>22</v>
      </c>
      <c r="I21" s="76">
        <f>IFERROR(VLOOKUP(A21,Calculations!$C$6:$AI$136,14,FALSE),"")</f>
        <v>29</v>
      </c>
      <c r="J21" s="76">
        <f>IFERROR(VLOOKUP(A21,Calculations!$C$6:$AI$136,15,FALSE),"")</f>
        <v>26</v>
      </c>
      <c r="K21" s="76">
        <f>IFERROR(VLOOKUP(A21,Calculations!$C$6:$AI$136,16,FALSE),"")</f>
        <v>22</v>
      </c>
      <c r="L21" s="76">
        <f>IFERROR(VLOOKUP(A21,Calculations!$C$6:$AI$136,17,FALSE),"")</f>
        <v>20</v>
      </c>
      <c r="M21" s="76" t="str">
        <f>IFERROR(VLOOKUP(A21,Calculations!$C$6:$AI$136,18,FALSE),"")</f>
        <v/>
      </c>
      <c r="N21" s="76" t="str">
        <f>IFERROR(VLOOKUP(A21,Calculations!$C$6:$AI$136,19,FALSE),"")</f>
        <v/>
      </c>
      <c r="O21" s="77">
        <f>IFERROR(VLOOKUP(A21,Calculations!$C$6:$AI$136,20,FALSE),"")</f>
        <v>0.81081081081081086</v>
      </c>
      <c r="P21" s="77">
        <f>IFERROR(VLOOKUP(A21,Calculations!$C$6:$AI$136,21,FALSE),"")</f>
        <v>0.70967741935483875</v>
      </c>
      <c r="Q21" s="77">
        <f>IFERROR(VLOOKUP(A21,Calculations!$C$6:$AI$136,22,FALSE),"")</f>
        <v>0.78378378378378377</v>
      </c>
      <c r="R21" s="77">
        <f>IFERROR(VLOOKUP(A21,Calculations!$C$6:$AI$136,23,FALSE),"")</f>
        <v>0.72222222222222221</v>
      </c>
      <c r="S21" s="77">
        <f>IFERROR(VLOOKUP(A21,Calculations!$C$6:$AI$136,24,FALSE),"")</f>
        <v>0.57894736842105265</v>
      </c>
      <c r="T21" s="77">
        <f>IFERROR(VLOOKUP(A21,Calculations!$C$6:$AI$136,25,FALSE),"")</f>
        <v>0.54054054054054057</v>
      </c>
      <c r="U21" s="77" t="str">
        <f>IFERROR(VLOOKUP(A21,Calculations!$C$6:$AI$136,26,FALSE),"")</f>
        <v/>
      </c>
      <c r="V21" s="77" t="str">
        <f>IFERROR(VLOOKUP(A21,Calculations!$C$6:$AI$136,27,FALSE),"")</f>
        <v/>
      </c>
      <c r="W21" s="77" t="str">
        <f>IFERROR(VLOOKUP(A21,Calculations!$C$6:$AI$136,32,FALSE),"")</f>
        <v/>
      </c>
      <c r="X21" s="77">
        <f>IFERROR(VLOOKUP(A21,Calculations!$C$6:$AI$136,33,FALSE),"")</f>
        <v>0.54054054054054057</v>
      </c>
      <c r="Y21" s="58">
        <f>IFERROR(VLOOKUP(A21,Calculations!$C$6:$AI$136,28,FALSE),"")</f>
        <v>6</v>
      </c>
      <c r="Z21" s="55">
        <f>IFERROR(VLOOKUP(A21,Calculations!$C$6:$AI$136,30,FALSE),"")</f>
        <v>0.75662355904291401</v>
      </c>
    </row>
    <row r="22" spans="1:26" ht="15" x14ac:dyDescent="0.3">
      <c r="A22" s="36">
        <v>20</v>
      </c>
      <c r="B22" s="35" t="str">
        <f>IFERROR(VLOOKUP(A22,Calculations!$C$6:$AI$136,4,FALSE),"")</f>
        <v>Simon Young</v>
      </c>
      <c r="C22" s="75">
        <f>IFERROR(VLOOKUP(A22,Calculations!$C$6:$AI$136,5,FALSE),"")</f>
        <v>88</v>
      </c>
      <c r="D22" s="75" t="str">
        <f>IFERROR(VLOOKUP(A22,Calculations!$C$6:$AI$136,6,FALSE),"")</f>
        <v>A</v>
      </c>
      <c r="E22" s="75" t="str">
        <f>IFERROR(VLOOKUP(A22,Calculations!$C$6:$AI$136,9,FALSE),"")</f>
        <v>PCP</v>
      </c>
      <c r="F22" s="75" t="str">
        <f>IFERROR(VLOOKUP(A22,Calculations!$C$6:$AI$136,10,FALSE),"")</f>
        <v>Buccaneers</v>
      </c>
      <c r="G22" s="76" t="str">
        <f>IFERROR(VLOOKUP(A22,Calculations!$C$6:$AI$136,12,FALSE),"")</f>
        <v/>
      </c>
      <c r="H22" s="76">
        <f>IFERROR(VLOOKUP(A22,Calculations!$C$6:$AI$136,13,FALSE),"")</f>
        <v>17</v>
      </c>
      <c r="I22" s="76">
        <f>IFERROR(VLOOKUP(A22,Calculations!$C$6:$AI$136,14,FALSE),"")</f>
        <v>31</v>
      </c>
      <c r="J22" s="76">
        <f>IFERROR(VLOOKUP(A22,Calculations!$C$6:$AI$136,15,FALSE),"")</f>
        <v>27</v>
      </c>
      <c r="K22" s="76" t="str">
        <f>IFERROR(VLOOKUP(A22,Calculations!$C$6:$AI$136,16,FALSE),"")</f>
        <v/>
      </c>
      <c r="L22" s="76">
        <f>IFERROR(VLOOKUP(A22,Calculations!$C$6:$AI$136,17,FALSE),"")</f>
        <v>32</v>
      </c>
      <c r="M22" s="76" t="str">
        <f>IFERROR(VLOOKUP(A22,Calculations!$C$6:$AI$136,18,FALSE),"")</f>
        <v/>
      </c>
      <c r="N22" s="76" t="str">
        <f>IFERROR(VLOOKUP(A22,Calculations!$C$6:$AI$136,19,FALSE),"")</f>
        <v/>
      </c>
      <c r="O22" s="77" t="str">
        <f>IFERROR(VLOOKUP(A22,Calculations!$C$6:$AI$136,20,FALSE),"")</f>
        <v/>
      </c>
      <c r="P22" s="77">
        <f>IFERROR(VLOOKUP(A22,Calculations!$C$6:$AI$136,21,FALSE),"")</f>
        <v>0.54838709677419351</v>
      </c>
      <c r="Q22" s="77">
        <f>IFERROR(VLOOKUP(A22,Calculations!$C$6:$AI$136,22,FALSE),"")</f>
        <v>0.83783783783783783</v>
      </c>
      <c r="R22" s="77">
        <f>IFERROR(VLOOKUP(A22,Calculations!$C$6:$AI$136,23,FALSE),"")</f>
        <v>0.75</v>
      </c>
      <c r="S22" s="77" t="str">
        <f>IFERROR(VLOOKUP(A22,Calculations!$C$6:$AI$136,24,FALSE),"")</f>
        <v/>
      </c>
      <c r="T22" s="77">
        <f>IFERROR(VLOOKUP(A22,Calculations!$C$6:$AI$136,25,FALSE),"")</f>
        <v>0.86486486486486491</v>
      </c>
      <c r="U22" s="77" t="str">
        <f>IFERROR(VLOOKUP(A22,Calculations!$C$6:$AI$136,26,FALSE),"")</f>
        <v/>
      </c>
      <c r="V22" s="77" t="str">
        <f>IFERROR(VLOOKUP(A22,Calculations!$C$6:$AI$136,27,FALSE),"")</f>
        <v/>
      </c>
      <c r="W22" s="77" t="str">
        <f>IFERROR(VLOOKUP(A22,Calculations!$C$6:$AI$136,32,FALSE),"")</f>
        <v/>
      </c>
      <c r="X22" s="77" t="str">
        <f>IFERROR(VLOOKUP(A22,Calculations!$C$6:$AI$136,33,FALSE),"")</f>
        <v/>
      </c>
      <c r="Y22" s="58">
        <f>IFERROR(VLOOKUP(A22,Calculations!$C$6:$AI$136,28,FALSE),"")</f>
        <v>4</v>
      </c>
      <c r="Z22" s="55">
        <f>IFERROR(VLOOKUP(A22,Calculations!$C$6:$AI$136,30,FALSE),"")</f>
        <v>0.75027244986922403</v>
      </c>
    </row>
    <row r="23" spans="1:26" ht="15" x14ac:dyDescent="0.3">
      <c r="A23" s="36">
        <v>21</v>
      </c>
      <c r="B23" s="35" t="str">
        <f>IFERROR(VLOOKUP(A23,Calculations!$C$6:$AI$136,4,FALSE),"")</f>
        <v>Glenda Privett</v>
      </c>
      <c r="C23" s="75">
        <f>IFERROR(VLOOKUP(A23,Calculations!$C$6:$AI$136,5,FALSE),"")</f>
        <v>1431</v>
      </c>
      <c r="D23" s="75" t="str">
        <f>IFERROR(VLOOKUP(A23,Calculations!$C$6:$AI$136,6,FALSE),"")</f>
        <v>C</v>
      </c>
      <c r="E23" s="75" t="str">
        <f>IFERROR(VLOOKUP(A23,Calculations!$C$6:$AI$136,9,FALSE),"")</f>
        <v>PCP</v>
      </c>
      <c r="F23" s="75" t="str">
        <f>IFERROR(VLOOKUP(A23,Calculations!$C$6:$AI$136,10,FALSE),"")</f>
        <v>Buccaneers</v>
      </c>
      <c r="G23" s="76">
        <f>IFERROR(VLOOKUP(A23,Calculations!$C$6:$AI$136,12,FALSE),"")</f>
        <v>32</v>
      </c>
      <c r="H23" s="76">
        <f>IFERROR(VLOOKUP(A23,Calculations!$C$6:$AI$136,13,FALSE),"")</f>
        <v>20</v>
      </c>
      <c r="I23" s="76">
        <f>IFERROR(VLOOKUP(A23,Calculations!$C$6:$AI$136,14,FALSE),"")</f>
        <v>28</v>
      </c>
      <c r="J23" s="76" t="str">
        <f>IFERROR(VLOOKUP(A23,Calculations!$C$6:$AI$136,15,FALSE),"")</f>
        <v/>
      </c>
      <c r="K23" s="76">
        <f>IFERROR(VLOOKUP(A23,Calculations!$C$6:$AI$136,16,FALSE),"")</f>
        <v>22</v>
      </c>
      <c r="L23" s="76">
        <f>IFERROR(VLOOKUP(A23,Calculations!$C$6:$AI$136,17,FALSE),"")</f>
        <v>27</v>
      </c>
      <c r="M23" s="76" t="str">
        <f>IFERROR(VLOOKUP(A23,Calculations!$C$6:$AI$136,18,FALSE),"")</f>
        <v/>
      </c>
      <c r="N23" s="76" t="str">
        <f>IFERROR(VLOOKUP(A23,Calculations!$C$6:$AI$136,19,FALSE),"")</f>
        <v/>
      </c>
      <c r="O23" s="77">
        <f>IFERROR(VLOOKUP(A23,Calculations!$C$6:$AI$136,20,FALSE),"")</f>
        <v>0.86486486486486491</v>
      </c>
      <c r="P23" s="77">
        <f>IFERROR(VLOOKUP(A23,Calculations!$C$6:$AI$136,21,FALSE),"")</f>
        <v>0.64516129032258063</v>
      </c>
      <c r="Q23" s="77">
        <f>IFERROR(VLOOKUP(A23,Calculations!$C$6:$AI$136,22,FALSE),"")</f>
        <v>0.7567567567567568</v>
      </c>
      <c r="R23" s="77" t="str">
        <f>IFERROR(VLOOKUP(A23,Calculations!$C$6:$AI$136,23,FALSE),"")</f>
        <v/>
      </c>
      <c r="S23" s="77">
        <f>IFERROR(VLOOKUP(A23,Calculations!$C$6:$AI$136,24,FALSE),"")</f>
        <v>0.57894736842105265</v>
      </c>
      <c r="T23" s="77">
        <f>IFERROR(VLOOKUP(A23,Calculations!$C$6:$AI$136,25,FALSE),"")</f>
        <v>0.72972972972972971</v>
      </c>
      <c r="U23" s="77" t="str">
        <f>IFERROR(VLOOKUP(A23,Calculations!$C$6:$AI$136,26,FALSE),"")</f>
        <v/>
      </c>
      <c r="V23" s="77" t="str">
        <f>IFERROR(VLOOKUP(A23,Calculations!$C$6:$AI$136,27,FALSE),"")</f>
        <v/>
      </c>
      <c r="W23" s="77">
        <f>IFERROR(VLOOKUP(A23,Calculations!$C$6:$AI$136,32,FALSE),"")</f>
        <v>0.57894736842105265</v>
      </c>
      <c r="X23" s="77" t="str">
        <f>IFERROR(VLOOKUP(A23,Calculations!$C$6:$AI$136,33,FALSE),"")</f>
        <v/>
      </c>
      <c r="Y23" s="58">
        <f>IFERROR(VLOOKUP(A23,Calculations!$C$6:$AI$136,28,FALSE),"")</f>
        <v>5</v>
      </c>
      <c r="Z23" s="55">
        <f>IFERROR(VLOOKUP(A23,Calculations!$C$6:$AI$136,30,FALSE),"")</f>
        <v>0.74912816041848296</v>
      </c>
    </row>
    <row r="24" spans="1:26" ht="15" x14ac:dyDescent="0.3">
      <c r="A24" s="36">
        <v>22</v>
      </c>
      <c r="B24" s="35" t="str">
        <f>IFERROR(VLOOKUP(A24,Calculations!$C$6:$AI$136,4,FALSE),"")</f>
        <v>Kevin Bird</v>
      </c>
      <c r="C24" s="75">
        <f>IFERROR(VLOOKUP(A24,Calculations!$C$6:$AI$136,5,FALSE),"")</f>
        <v>1877</v>
      </c>
      <c r="D24" s="75" t="str">
        <f>IFERROR(VLOOKUP(A24,Calculations!$C$6:$AI$136,6,FALSE),"")</f>
        <v>B</v>
      </c>
      <c r="E24" s="75" t="str">
        <f>IFERROR(VLOOKUP(A24,Calculations!$C$6:$AI$136,9,FALSE),"")</f>
        <v>PCP</v>
      </c>
      <c r="F24" s="75" t="str">
        <f>IFERROR(VLOOKUP(A24,Calculations!$C$6:$AI$136,10,FALSE),"")</f>
        <v>Newbury</v>
      </c>
      <c r="G24" s="76" t="str">
        <f>IFERROR(VLOOKUP(A24,Calculations!$C$6:$AI$136,12,FALSE),"")</f>
        <v/>
      </c>
      <c r="H24" s="76">
        <f>IFERROR(VLOOKUP(A24,Calculations!$C$6:$AI$136,13,FALSE),"")</f>
        <v>22</v>
      </c>
      <c r="I24" s="76">
        <f>IFERROR(VLOOKUP(A24,Calculations!$C$6:$AI$136,14,FALSE),"")</f>
        <v>25</v>
      </c>
      <c r="J24" s="76">
        <f>IFERROR(VLOOKUP(A24,Calculations!$C$6:$AI$136,15,FALSE),"")</f>
        <v>27</v>
      </c>
      <c r="K24" s="76">
        <f>IFERROR(VLOOKUP(A24,Calculations!$C$6:$AI$136,16,FALSE),"")</f>
        <v>28</v>
      </c>
      <c r="L24" s="76" t="str">
        <f>IFERROR(VLOOKUP(A24,Calculations!$C$6:$AI$136,17,FALSE),"")</f>
        <v/>
      </c>
      <c r="M24" s="76" t="str">
        <f>IFERROR(VLOOKUP(A24,Calculations!$C$6:$AI$136,18,FALSE),"")</f>
        <v/>
      </c>
      <c r="N24" s="76" t="str">
        <f>IFERROR(VLOOKUP(A24,Calculations!$C$6:$AI$136,19,FALSE),"")</f>
        <v/>
      </c>
      <c r="O24" s="77" t="str">
        <f>IFERROR(VLOOKUP(A24,Calculations!$C$6:$AI$136,20,FALSE),"")</f>
        <v/>
      </c>
      <c r="P24" s="77">
        <f>IFERROR(VLOOKUP(A24,Calculations!$C$6:$AI$136,21,FALSE),"")</f>
        <v>0.70967741935483875</v>
      </c>
      <c r="Q24" s="77">
        <f>IFERROR(VLOOKUP(A24,Calculations!$C$6:$AI$136,22,FALSE),"")</f>
        <v>0.67567567567567566</v>
      </c>
      <c r="R24" s="77">
        <f>IFERROR(VLOOKUP(A24,Calculations!$C$6:$AI$136,23,FALSE),"")</f>
        <v>0.75</v>
      </c>
      <c r="S24" s="77">
        <f>IFERROR(VLOOKUP(A24,Calculations!$C$6:$AI$136,24,FALSE),"")</f>
        <v>0.73684210526315785</v>
      </c>
      <c r="T24" s="77" t="str">
        <f>IFERROR(VLOOKUP(A24,Calculations!$C$6:$AI$136,25,FALSE),"")</f>
        <v/>
      </c>
      <c r="U24" s="77" t="str">
        <f>IFERROR(VLOOKUP(A24,Calculations!$C$6:$AI$136,26,FALSE),"")</f>
        <v/>
      </c>
      <c r="V24" s="77" t="str">
        <f>IFERROR(VLOOKUP(A24,Calculations!$C$6:$AI$136,27,FALSE),"")</f>
        <v/>
      </c>
      <c r="W24" s="77" t="str">
        <f>IFERROR(VLOOKUP(A24,Calculations!$C$6:$AI$136,32,FALSE),"")</f>
        <v/>
      </c>
      <c r="X24" s="77" t="str">
        <f>IFERROR(VLOOKUP(A24,Calculations!$C$6:$AI$136,33,FALSE),"")</f>
        <v/>
      </c>
      <c r="Y24" s="58">
        <f>IFERROR(VLOOKUP(A24,Calculations!$C$6:$AI$136,28,FALSE),"")</f>
        <v>4</v>
      </c>
      <c r="Z24" s="55">
        <f>IFERROR(VLOOKUP(A24,Calculations!$C$6:$AI$136,30,FALSE),"")</f>
        <v>0.71804880007341798</v>
      </c>
    </row>
    <row r="25" spans="1:26" ht="15" x14ac:dyDescent="0.3">
      <c r="A25" s="36">
        <v>23</v>
      </c>
      <c r="B25" s="35" t="str">
        <f>IFERROR(VLOOKUP(A25,Calculations!$C$6:$AI$136,4,FALSE),"")</f>
        <v/>
      </c>
      <c r="C25" s="75" t="str">
        <f>IFERROR(VLOOKUP(A25,Calculations!$C$6:$AI$136,5,FALSE),"")</f>
        <v/>
      </c>
      <c r="D25" s="75" t="str">
        <f>IFERROR(VLOOKUP(A25,Calculations!$C$6:$AI$136,6,FALSE),"")</f>
        <v/>
      </c>
      <c r="E25" s="75" t="str">
        <f>IFERROR(VLOOKUP(A25,Calculations!$C$6:$AI$136,9,FALSE),"")</f>
        <v/>
      </c>
      <c r="F25" s="75" t="str">
        <f>IFERROR(VLOOKUP(A25,Calculations!$C$6:$AI$136,10,FALSE),"")</f>
        <v/>
      </c>
      <c r="G25" s="76" t="str">
        <f>IFERROR(VLOOKUP(A25,Calculations!$C$6:$AI$136,12,FALSE),"")</f>
        <v/>
      </c>
      <c r="H25" s="76" t="str">
        <f>IFERROR(VLOOKUP(A25,Calculations!$C$6:$AI$136,13,FALSE),"")</f>
        <v/>
      </c>
      <c r="I25" s="76" t="str">
        <f>IFERROR(VLOOKUP(A25,Calculations!$C$6:$AI$136,14,FALSE),"")</f>
        <v/>
      </c>
      <c r="J25" s="76" t="str">
        <f>IFERROR(VLOOKUP(A25,Calculations!$C$6:$AI$136,15,FALSE),"")</f>
        <v/>
      </c>
      <c r="K25" s="76" t="str">
        <f>IFERROR(VLOOKUP(A25,Calculations!$C$6:$AI$136,16,FALSE),"")</f>
        <v/>
      </c>
      <c r="L25" s="76" t="str">
        <f>IFERROR(VLOOKUP(A25,Calculations!$C$6:$AI$136,17,FALSE),"")</f>
        <v/>
      </c>
      <c r="M25" s="76" t="str">
        <f>IFERROR(VLOOKUP(A25,Calculations!$C$6:$AI$136,18,FALSE),"")</f>
        <v/>
      </c>
      <c r="N25" s="76" t="str">
        <f>IFERROR(VLOOKUP(A25,Calculations!$C$6:$AI$136,19,FALSE),"")</f>
        <v/>
      </c>
      <c r="O25" s="77" t="str">
        <f>IFERROR(VLOOKUP(A25,Calculations!$C$6:$AI$136,20,FALSE),"")</f>
        <v/>
      </c>
      <c r="P25" s="77" t="str">
        <f>IFERROR(VLOOKUP(A25,Calculations!$C$6:$AI$136,21,FALSE),"")</f>
        <v/>
      </c>
      <c r="Q25" s="77" t="str">
        <f>IFERROR(VLOOKUP(A25,Calculations!$C$6:$AI$136,22,FALSE),"")</f>
        <v/>
      </c>
      <c r="R25" s="77" t="str">
        <f>IFERROR(VLOOKUP(A25,Calculations!$C$6:$AI$136,23,FALSE),"")</f>
        <v/>
      </c>
      <c r="S25" s="77" t="str">
        <f>IFERROR(VLOOKUP(A25,Calculations!$C$6:$AI$136,24,FALSE),"")</f>
        <v/>
      </c>
      <c r="T25" s="77" t="str">
        <f>IFERROR(VLOOKUP(A25,Calculations!$C$6:$AI$136,25,FALSE),"")</f>
        <v/>
      </c>
      <c r="U25" s="77" t="str">
        <f>IFERROR(VLOOKUP(A25,Calculations!$C$6:$AI$136,26,FALSE),"")</f>
        <v/>
      </c>
      <c r="V25" s="77" t="str">
        <f>IFERROR(VLOOKUP(A25,Calculations!$C$6:$AI$136,27,FALSE),"")</f>
        <v/>
      </c>
      <c r="W25" s="77" t="str">
        <f>IFERROR(VLOOKUP(A25,Calculations!$C$6:$AI$136,32,FALSE),"")</f>
        <v/>
      </c>
      <c r="X25" s="77" t="str">
        <f>IFERROR(VLOOKUP(A25,Calculations!$C$6:$AI$136,33,FALSE),"")</f>
        <v/>
      </c>
      <c r="Y25" s="58" t="str">
        <f>IFERROR(VLOOKUP(A25,Calculations!$C$6:$AI$136,28,FALSE),"")</f>
        <v/>
      </c>
      <c r="Z25" s="55" t="str">
        <f>IFERROR(VLOOKUP(A25,Calculations!$C$6:$AI$136,30,FALSE),"")</f>
        <v/>
      </c>
    </row>
    <row r="26" spans="1:26" ht="15" x14ac:dyDescent="0.3">
      <c r="A26" s="36">
        <v>24</v>
      </c>
      <c r="B26" s="35" t="str">
        <f>IFERROR(VLOOKUP(A26,Calculations!$C$6:$AI$136,4,FALSE),"")</f>
        <v>Nigel Mason</v>
      </c>
      <c r="C26" s="75">
        <f>IFERROR(VLOOKUP(A26,Calculations!$C$6:$AI$136,5,FALSE),"")</f>
        <v>1886</v>
      </c>
      <c r="D26" s="75" t="str">
        <f>IFERROR(VLOOKUP(A26,Calculations!$C$6:$AI$136,6,FALSE),"")</f>
        <v>C</v>
      </c>
      <c r="E26" s="75" t="str">
        <f>IFERROR(VLOOKUP(A26,Calculations!$C$6:$AI$136,9,FALSE),"")</f>
        <v>PCP</v>
      </c>
      <c r="F26" s="75" t="str">
        <f>IFERROR(VLOOKUP(A26,Calculations!$C$6:$AI$136,10,FALSE),"")</f>
        <v>Meon</v>
      </c>
      <c r="G26" s="76">
        <f>IFERROR(VLOOKUP(A26,Calculations!$C$6:$AI$136,12,FALSE),"")</f>
        <v>23</v>
      </c>
      <c r="H26" s="76">
        <f>IFERROR(VLOOKUP(A26,Calculations!$C$6:$AI$136,13,FALSE),"")</f>
        <v>17</v>
      </c>
      <c r="I26" s="76">
        <f>IFERROR(VLOOKUP(A26,Calculations!$C$6:$AI$136,14,FALSE),"")</f>
        <v>23</v>
      </c>
      <c r="J26" s="76">
        <f>IFERROR(VLOOKUP(A26,Calculations!$C$6:$AI$136,15,FALSE),"")</f>
        <v>23</v>
      </c>
      <c r="K26" s="76">
        <f>IFERROR(VLOOKUP(A26,Calculations!$C$6:$AI$136,16,FALSE),"")</f>
        <v>27</v>
      </c>
      <c r="L26" s="76">
        <f>IFERROR(VLOOKUP(A26,Calculations!$C$6:$AI$136,17,FALSE),"")</f>
        <v>25</v>
      </c>
      <c r="M26" s="76" t="str">
        <f>IFERROR(VLOOKUP(A26,Calculations!$C$6:$AI$136,18,FALSE),"")</f>
        <v/>
      </c>
      <c r="N26" s="76" t="str">
        <f>IFERROR(VLOOKUP(A26,Calculations!$C$6:$AI$136,19,FALSE),"")</f>
        <v/>
      </c>
      <c r="O26" s="77">
        <f>IFERROR(VLOOKUP(A26,Calculations!$C$6:$AI$136,20,FALSE),"")</f>
        <v>0.6216216216216216</v>
      </c>
      <c r="P26" s="77">
        <f>IFERROR(VLOOKUP(A26,Calculations!$C$6:$AI$136,21,FALSE),"")</f>
        <v>0.54838709677419351</v>
      </c>
      <c r="Q26" s="77">
        <f>IFERROR(VLOOKUP(A26,Calculations!$C$6:$AI$136,22,FALSE),"")</f>
        <v>0.6216216216216216</v>
      </c>
      <c r="R26" s="77">
        <f>IFERROR(VLOOKUP(A26,Calculations!$C$6:$AI$136,23,FALSE),"")</f>
        <v>0.63888888888888884</v>
      </c>
      <c r="S26" s="77">
        <f>IFERROR(VLOOKUP(A26,Calculations!$C$6:$AI$136,24,FALSE),"")</f>
        <v>0.71052631578947367</v>
      </c>
      <c r="T26" s="77">
        <f>IFERROR(VLOOKUP(A26,Calculations!$C$6:$AI$136,25,FALSE),"")</f>
        <v>0.67567567567567566</v>
      </c>
      <c r="U26" s="77" t="str">
        <f>IFERROR(VLOOKUP(A26,Calculations!$C$6:$AI$136,26,FALSE),"")</f>
        <v/>
      </c>
      <c r="V26" s="77" t="str">
        <f>IFERROR(VLOOKUP(A26,Calculations!$C$6:$AI$136,27,FALSE),"")</f>
        <v/>
      </c>
      <c r="W26" s="77" t="str">
        <f>IFERROR(VLOOKUP(A26,Calculations!$C$6:$AI$136,32,FALSE),"")</f>
        <v/>
      </c>
      <c r="X26" s="77">
        <f>IFERROR(VLOOKUP(A26,Calculations!$C$6:$AI$136,33,FALSE),"")</f>
        <v>0.54838709677419351</v>
      </c>
      <c r="Y26" s="58">
        <f>IFERROR(VLOOKUP(A26,Calculations!$C$6:$AI$136,28,FALSE),"")</f>
        <v>6</v>
      </c>
      <c r="Z26" s="55">
        <f>IFERROR(VLOOKUP(A26,Calculations!$C$6:$AI$136,30,FALSE),"")</f>
        <v>0.66167812549391491</v>
      </c>
    </row>
    <row r="27" spans="1:26" ht="15" x14ac:dyDescent="0.3">
      <c r="A27" s="36">
        <v>25</v>
      </c>
      <c r="B27" s="35" t="str">
        <f>IFERROR(VLOOKUP(A27,Calculations!$C$6:$AI$136,4,FALSE),"")</f>
        <v>Robyn Eames</v>
      </c>
      <c r="C27" s="75">
        <f>IFERROR(VLOOKUP(A27,Calculations!$C$6:$AI$136,5,FALSE),"")</f>
        <v>1883</v>
      </c>
      <c r="D27" s="75" t="str">
        <f>IFERROR(VLOOKUP(A27,Calculations!$C$6:$AI$136,6,FALSE),"")</f>
        <v>C</v>
      </c>
      <c r="E27" s="75" t="str">
        <f>IFERROR(VLOOKUP(A27,Calculations!$C$6:$AI$136,9,FALSE),"")</f>
        <v>PCP</v>
      </c>
      <c r="F27" s="75" t="str">
        <f>IFERROR(VLOOKUP(A27,Calculations!$C$6:$AI$136,10,FALSE),"")</f>
        <v>Carisbrooke</v>
      </c>
      <c r="G27" s="76">
        <f>IFERROR(VLOOKUP(A27,Calculations!$C$6:$AI$136,12,FALSE),"")</f>
        <v>21</v>
      </c>
      <c r="H27" s="76">
        <f>IFERROR(VLOOKUP(A27,Calculations!$C$6:$AI$136,13,FALSE),"")</f>
        <v>20</v>
      </c>
      <c r="I27" s="76">
        <f>IFERROR(VLOOKUP(A27,Calculations!$C$6:$AI$136,14,FALSE),"")</f>
        <v>27</v>
      </c>
      <c r="J27" s="76">
        <f>IFERROR(VLOOKUP(A27,Calculations!$C$6:$AI$136,15,FALSE),"")</f>
        <v>22</v>
      </c>
      <c r="K27" s="76">
        <f>IFERROR(VLOOKUP(A27,Calculations!$C$6:$AI$136,16,FALSE),"")</f>
        <v>23</v>
      </c>
      <c r="L27" s="76">
        <f>IFERROR(VLOOKUP(A27,Calculations!$C$6:$AI$136,17,FALSE),"")</f>
        <v>23</v>
      </c>
      <c r="M27" s="76" t="str">
        <f>IFERROR(VLOOKUP(A27,Calculations!$C$6:$AI$136,18,FALSE),"")</f>
        <v/>
      </c>
      <c r="N27" s="76" t="str">
        <f>IFERROR(VLOOKUP(A27,Calculations!$C$6:$AI$136,19,FALSE),"")</f>
        <v/>
      </c>
      <c r="O27" s="77">
        <f>IFERROR(VLOOKUP(A27,Calculations!$C$6:$AI$136,20,FALSE),"")</f>
        <v>0.56756756756756754</v>
      </c>
      <c r="P27" s="77">
        <f>IFERROR(VLOOKUP(A27,Calculations!$C$6:$AI$136,21,FALSE),"")</f>
        <v>0.64516129032258063</v>
      </c>
      <c r="Q27" s="77">
        <f>IFERROR(VLOOKUP(A27,Calculations!$C$6:$AI$136,22,FALSE),"")</f>
        <v>0.72972972972972971</v>
      </c>
      <c r="R27" s="77">
        <f>IFERROR(VLOOKUP(A27,Calculations!$C$6:$AI$136,23,FALSE),"")</f>
        <v>0.61111111111111116</v>
      </c>
      <c r="S27" s="77">
        <f>IFERROR(VLOOKUP(A27,Calculations!$C$6:$AI$136,24,FALSE),"")</f>
        <v>0.60526315789473684</v>
      </c>
      <c r="T27" s="77">
        <f>IFERROR(VLOOKUP(A27,Calculations!$C$6:$AI$136,25,FALSE),"")</f>
        <v>0.6216216216216216</v>
      </c>
      <c r="U27" s="77" t="str">
        <f>IFERROR(VLOOKUP(A27,Calculations!$C$6:$AI$136,26,FALSE),"")</f>
        <v/>
      </c>
      <c r="V27" s="77" t="str">
        <f>IFERROR(VLOOKUP(A27,Calculations!$C$6:$AI$136,27,FALSE),"")</f>
        <v/>
      </c>
      <c r="W27" s="77" t="str">
        <f>IFERROR(VLOOKUP(A27,Calculations!$C$6:$AI$136,32,FALSE),"")</f>
        <v/>
      </c>
      <c r="X27" s="77">
        <f>IFERROR(VLOOKUP(A27,Calculations!$C$6:$AI$136,33,FALSE),"")</f>
        <v>0.56756756756756754</v>
      </c>
      <c r="Y27" s="58">
        <f>IFERROR(VLOOKUP(A27,Calculations!$C$6:$AI$136,28,FALSE),"")</f>
        <v>6</v>
      </c>
      <c r="Z27" s="55">
        <f>IFERROR(VLOOKUP(A27,Calculations!$C$6:$AI$136,30,FALSE),"")</f>
        <v>0.65190593819626075</v>
      </c>
    </row>
    <row r="28" spans="1:26" ht="15" x14ac:dyDescent="0.3">
      <c r="A28" s="36">
        <v>26</v>
      </c>
      <c r="B28" s="35" t="str">
        <f>IFERROR(VLOOKUP(A28,Calculations!$C$6:$AI$136,4,FALSE),"")</f>
        <v/>
      </c>
      <c r="C28" s="75" t="str">
        <f>IFERROR(VLOOKUP(A28,Calculations!$C$6:$AI$136,5,FALSE),"")</f>
        <v/>
      </c>
      <c r="D28" s="75" t="str">
        <f>IFERROR(VLOOKUP(A28,Calculations!$C$6:$AI$136,6,FALSE),"")</f>
        <v/>
      </c>
      <c r="E28" s="75" t="str">
        <f>IFERROR(VLOOKUP(A28,Calculations!$C$6:$AI$136,9,FALSE),"")</f>
        <v/>
      </c>
      <c r="F28" s="75" t="str">
        <f>IFERROR(VLOOKUP(A28,Calculations!$C$6:$AI$136,10,FALSE),"")</f>
        <v/>
      </c>
      <c r="G28" s="76" t="str">
        <f>IFERROR(VLOOKUP(A28,Calculations!$C$6:$AI$136,12,FALSE),"")</f>
        <v/>
      </c>
      <c r="H28" s="76" t="str">
        <f>IFERROR(VLOOKUP(A28,Calculations!$C$6:$AI$136,13,FALSE),"")</f>
        <v/>
      </c>
      <c r="I28" s="76" t="str">
        <f>IFERROR(VLOOKUP(A28,Calculations!$C$6:$AI$136,14,FALSE),"")</f>
        <v/>
      </c>
      <c r="J28" s="76" t="str">
        <f>IFERROR(VLOOKUP(A28,Calculations!$C$6:$AI$136,15,FALSE),"")</f>
        <v/>
      </c>
      <c r="K28" s="76" t="str">
        <f>IFERROR(VLOOKUP(A28,Calculations!$C$6:$AI$136,16,FALSE),"")</f>
        <v/>
      </c>
      <c r="L28" s="76" t="str">
        <f>IFERROR(VLOOKUP(A28,Calculations!$C$6:$AI$136,17,FALSE),"")</f>
        <v/>
      </c>
      <c r="M28" s="76" t="str">
        <f>IFERROR(VLOOKUP(A28,Calculations!$C$6:$AI$136,18,FALSE),"")</f>
        <v/>
      </c>
      <c r="N28" s="76" t="str">
        <f>IFERROR(VLOOKUP(A28,Calculations!$C$6:$AI$136,19,FALSE),"")</f>
        <v/>
      </c>
      <c r="O28" s="77" t="str">
        <f>IFERROR(VLOOKUP(A28,Calculations!$C$6:$AI$136,20,FALSE),"")</f>
        <v/>
      </c>
      <c r="P28" s="77" t="str">
        <f>IFERROR(VLOOKUP(A28,Calculations!$C$6:$AI$136,21,FALSE),"")</f>
        <v/>
      </c>
      <c r="Q28" s="77" t="str">
        <f>IFERROR(VLOOKUP(A28,Calculations!$C$6:$AI$136,22,FALSE),"")</f>
        <v/>
      </c>
      <c r="R28" s="77" t="str">
        <f>IFERROR(VLOOKUP(A28,Calculations!$C$6:$AI$136,23,FALSE),"")</f>
        <v/>
      </c>
      <c r="S28" s="77" t="str">
        <f>IFERROR(VLOOKUP(A28,Calculations!$C$6:$AI$136,24,FALSE),"")</f>
        <v/>
      </c>
      <c r="T28" s="77" t="str">
        <f>IFERROR(VLOOKUP(A28,Calculations!$C$6:$AI$136,25,FALSE),"")</f>
        <v/>
      </c>
      <c r="U28" s="77" t="str">
        <f>IFERROR(VLOOKUP(A28,Calculations!$C$6:$AI$136,26,FALSE),"")</f>
        <v/>
      </c>
      <c r="V28" s="77" t="str">
        <f>IFERROR(VLOOKUP(A28,Calculations!$C$6:$AI$136,27,FALSE),"")</f>
        <v/>
      </c>
      <c r="W28" s="77" t="str">
        <f>IFERROR(VLOOKUP(A28,Calculations!$C$6:$AI$136,32,FALSE),"")</f>
        <v/>
      </c>
      <c r="X28" s="77" t="str">
        <f>IFERROR(VLOOKUP(A28,Calculations!$C$6:$AI$136,33,FALSE),"")</f>
        <v/>
      </c>
      <c r="Y28" s="58" t="str">
        <f>IFERROR(VLOOKUP(A28,Calculations!$C$6:$AI$136,28,FALSE),"")</f>
        <v/>
      </c>
      <c r="Z28" s="55" t="str">
        <f>IFERROR(VLOOKUP(A28,Calculations!$C$6:$AI$136,30,FALSE),"")</f>
        <v/>
      </c>
    </row>
    <row r="29" spans="1:26" ht="15" x14ac:dyDescent="0.3">
      <c r="A29" s="36">
        <v>27</v>
      </c>
      <c r="B29" s="35" t="str">
        <f>IFERROR(VLOOKUP(A29,Calculations!$C$6:$AI$136,4,FALSE),"")</f>
        <v>Michael Baxter</v>
      </c>
      <c r="C29" s="75">
        <f>IFERROR(VLOOKUP(A29,Calculations!$C$6:$AI$136,5,FALSE),"")</f>
        <v>1917</v>
      </c>
      <c r="D29" s="75" t="str">
        <f>IFERROR(VLOOKUP(A29,Calculations!$C$6:$AI$136,6,FALSE),"")</f>
        <v>C</v>
      </c>
      <c r="E29" s="75" t="str">
        <f>IFERROR(VLOOKUP(A29,Calculations!$C$6:$AI$136,9,FALSE),"")</f>
        <v>PCP</v>
      </c>
      <c r="F29" s="75" t="str">
        <f>IFERROR(VLOOKUP(A29,Calculations!$C$6:$AI$136,10,FALSE),"")</f>
        <v>Carisbrooke</v>
      </c>
      <c r="G29" s="76">
        <f>IFERROR(VLOOKUP(A29,Calculations!$C$6:$AI$136,12,FALSE),"")</f>
        <v>24</v>
      </c>
      <c r="H29" s="76">
        <f>IFERROR(VLOOKUP(A29,Calculations!$C$6:$AI$136,13,FALSE),"")</f>
        <v>18</v>
      </c>
      <c r="I29" s="76" t="str">
        <f>IFERROR(VLOOKUP(A29,Calculations!$C$6:$AI$136,14,FALSE),"")</f>
        <v/>
      </c>
      <c r="J29" s="76">
        <f>IFERROR(VLOOKUP(A29,Calculations!$C$6:$AI$136,15,FALSE),"")</f>
        <v>19</v>
      </c>
      <c r="K29" s="76">
        <f>IFERROR(VLOOKUP(A29,Calculations!$C$6:$AI$136,16,FALSE),"")</f>
        <v>26</v>
      </c>
      <c r="L29" s="76">
        <f>IFERROR(VLOOKUP(A29,Calculations!$C$6:$AI$136,17,FALSE),"")</f>
        <v>24</v>
      </c>
      <c r="M29" s="76" t="str">
        <f>IFERROR(VLOOKUP(A29,Calculations!$C$6:$AI$136,18,FALSE),"")</f>
        <v/>
      </c>
      <c r="N29" s="76" t="str">
        <f>IFERROR(VLOOKUP(A29,Calculations!$C$6:$AI$136,19,FALSE),"")</f>
        <v/>
      </c>
      <c r="O29" s="77">
        <f>IFERROR(VLOOKUP(A29,Calculations!$C$6:$AI$136,20,FALSE),"")</f>
        <v>0.64864864864864868</v>
      </c>
      <c r="P29" s="77">
        <f>IFERROR(VLOOKUP(A29,Calculations!$C$6:$AI$136,21,FALSE),"")</f>
        <v>0.58064516129032262</v>
      </c>
      <c r="Q29" s="77" t="str">
        <f>IFERROR(VLOOKUP(A29,Calculations!$C$6:$AI$136,22,FALSE),"")</f>
        <v/>
      </c>
      <c r="R29" s="77">
        <f>IFERROR(VLOOKUP(A29,Calculations!$C$6:$AI$136,23,FALSE),"")</f>
        <v>0.52777777777777779</v>
      </c>
      <c r="S29" s="77">
        <f>IFERROR(VLOOKUP(A29,Calculations!$C$6:$AI$136,24,FALSE),"")</f>
        <v>0.68421052631578949</v>
      </c>
      <c r="T29" s="77">
        <f>IFERROR(VLOOKUP(A29,Calculations!$C$6:$AI$136,25,FALSE),"")</f>
        <v>0.64864864864864868</v>
      </c>
      <c r="U29" s="77" t="str">
        <f>IFERROR(VLOOKUP(A29,Calculations!$C$6:$AI$136,26,FALSE),"")</f>
        <v/>
      </c>
      <c r="V29" s="77" t="str">
        <f>IFERROR(VLOOKUP(A29,Calculations!$C$6:$AI$136,27,FALSE),"")</f>
        <v/>
      </c>
      <c r="W29" s="77">
        <f>IFERROR(VLOOKUP(A29,Calculations!$C$6:$AI$136,32,FALSE),"")</f>
        <v>0.52777777777777779</v>
      </c>
      <c r="X29" s="77" t="str">
        <f>IFERROR(VLOOKUP(A29,Calculations!$C$6:$AI$136,33,FALSE),"")</f>
        <v/>
      </c>
      <c r="Y29" s="58">
        <f>IFERROR(VLOOKUP(A29,Calculations!$C$6:$AI$136,28,FALSE),"")</f>
        <v>5</v>
      </c>
      <c r="Z29" s="55">
        <f>IFERROR(VLOOKUP(A29,Calculations!$C$6:$AI$136,30,FALSE),"")</f>
        <v>0.64053824622585231</v>
      </c>
    </row>
    <row r="30" spans="1:26" ht="15" x14ac:dyDescent="0.3">
      <c r="A30" s="36">
        <v>28</v>
      </c>
      <c r="B30" s="35" t="str">
        <f>IFERROR(VLOOKUP(A30,Calculations!$C$6:$AI$136,4,FALSE),"")</f>
        <v>Andrew Slade</v>
      </c>
      <c r="C30" s="75">
        <f>IFERROR(VLOOKUP(A30,Calculations!$C$6:$AI$136,5,FALSE),"")</f>
        <v>402</v>
      </c>
      <c r="D30" s="75" t="str">
        <f>IFERROR(VLOOKUP(A30,Calculations!$C$6:$AI$136,6,FALSE),"")</f>
        <v>B</v>
      </c>
      <c r="E30" s="75" t="str">
        <f>IFERROR(VLOOKUP(A30,Calculations!$C$6:$AI$136,9,FALSE),"")</f>
        <v>PCP</v>
      </c>
      <c r="F30" s="75" t="str">
        <f>IFERROR(VLOOKUP(A30,Calculations!$C$6:$AI$136,10,FALSE),"")</f>
        <v>Newbury</v>
      </c>
      <c r="G30" s="76">
        <f>IFERROR(VLOOKUP(A30,Calculations!$C$6:$AI$136,12,FALSE),"")</f>
        <v>27</v>
      </c>
      <c r="H30" s="76">
        <f>IFERROR(VLOOKUP(A30,Calculations!$C$6:$AI$136,13,FALSE),"")</f>
        <v>17</v>
      </c>
      <c r="I30" s="76">
        <f>IFERROR(VLOOKUP(A30,Calculations!$C$6:$AI$136,14,FALSE),"")</f>
        <v>23</v>
      </c>
      <c r="J30" s="76">
        <f>IFERROR(VLOOKUP(A30,Calculations!$C$6:$AI$136,15,FALSE),"")</f>
        <v>19</v>
      </c>
      <c r="K30" s="76">
        <f>IFERROR(VLOOKUP(A30,Calculations!$C$6:$AI$136,16,FALSE),"")</f>
        <v>18</v>
      </c>
      <c r="L30" s="76">
        <f>IFERROR(VLOOKUP(A30,Calculations!$C$6:$AI$136,17,FALSE),"")</f>
        <v>23</v>
      </c>
      <c r="M30" s="76" t="str">
        <f>IFERROR(VLOOKUP(A30,Calculations!$C$6:$AI$136,18,FALSE),"")</f>
        <v/>
      </c>
      <c r="N30" s="76" t="str">
        <f>IFERROR(VLOOKUP(A30,Calculations!$C$6:$AI$136,19,FALSE),"")</f>
        <v/>
      </c>
      <c r="O30" s="77">
        <f>IFERROR(VLOOKUP(A30,Calculations!$C$6:$AI$136,20,FALSE),"")</f>
        <v>0.72972972972972971</v>
      </c>
      <c r="P30" s="77">
        <f>IFERROR(VLOOKUP(A30,Calculations!$C$6:$AI$136,21,FALSE),"")</f>
        <v>0.54838709677419351</v>
      </c>
      <c r="Q30" s="77">
        <f>IFERROR(VLOOKUP(A30,Calculations!$C$6:$AI$136,22,FALSE),"")</f>
        <v>0.6216216216216216</v>
      </c>
      <c r="R30" s="77">
        <f>IFERROR(VLOOKUP(A30,Calculations!$C$6:$AI$136,23,FALSE),"")</f>
        <v>0.52777777777777779</v>
      </c>
      <c r="S30" s="77">
        <f>IFERROR(VLOOKUP(A30,Calculations!$C$6:$AI$136,24,FALSE),"")</f>
        <v>0.47368421052631576</v>
      </c>
      <c r="T30" s="77">
        <f>IFERROR(VLOOKUP(A30,Calculations!$C$6:$AI$136,25,FALSE),"")</f>
        <v>0.6216216216216216</v>
      </c>
      <c r="U30" s="77" t="str">
        <f>IFERROR(VLOOKUP(A30,Calculations!$C$6:$AI$136,26,FALSE),"")</f>
        <v/>
      </c>
      <c r="V30" s="77" t="str">
        <f>IFERROR(VLOOKUP(A30,Calculations!$C$6:$AI$136,27,FALSE),"")</f>
        <v/>
      </c>
      <c r="W30" s="77" t="str">
        <f>IFERROR(VLOOKUP(A30,Calculations!$C$6:$AI$136,32,FALSE),"")</f>
        <v/>
      </c>
      <c r="X30" s="77">
        <f>IFERROR(VLOOKUP(A30,Calculations!$C$6:$AI$136,33,FALSE),"")</f>
        <v>0.47368421052631576</v>
      </c>
      <c r="Y30" s="58">
        <f>IFERROR(VLOOKUP(A30,Calculations!$C$6:$AI$136,28,FALSE),"")</f>
        <v>6</v>
      </c>
      <c r="Z30" s="55">
        <f>IFERROR(VLOOKUP(A30,Calculations!$C$6:$AI$136,30,FALSE),"")</f>
        <v>0.63034001743679158</v>
      </c>
    </row>
    <row r="31" spans="1:26" ht="15" x14ac:dyDescent="0.3">
      <c r="A31" s="36">
        <v>29</v>
      </c>
      <c r="B31" s="35" t="str">
        <f>IFERROR(VLOOKUP(A31,Calculations!$C$6:$AI$136,4,FALSE),"")</f>
        <v>Clive Turner</v>
      </c>
      <c r="C31" s="75" t="str">
        <f>IFERROR(VLOOKUP(A31,Calculations!$C$6:$AI$136,5,FALSE),"")</f>
        <v/>
      </c>
      <c r="D31" s="75" t="str">
        <f>IFERROR(VLOOKUP(A31,Calculations!$C$6:$AI$136,6,FALSE),"")</f>
        <v>AA</v>
      </c>
      <c r="E31" s="75" t="str">
        <f>IFERROR(VLOOKUP(A31,Calculations!$C$6:$AI$136,9,FALSE),"")</f>
        <v>Piston</v>
      </c>
      <c r="F31" s="75" t="str">
        <f>IFERROR(VLOOKUP(A31,Calculations!$C$6:$AI$136,10,FALSE),"")</f>
        <v>Weston Warrior</v>
      </c>
      <c r="G31" s="76" t="str">
        <f>IFERROR(VLOOKUP(A31,Calculations!$C$6:$AI$136,12,FALSE),"")</f>
        <v/>
      </c>
      <c r="H31" s="76" t="str">
        <f>IFERROR(VLOOKUP(A31,Calculations!$C$6:$AI$136,13,FALSE),"")</f>
        <v/>
      </c>
      <c r="I31" s="76" t="str">
        <f>IFERROR(VLOOKUP(A31,Calculations!$C$6:$AI$136,14,FALSE),"")</f>
        <v/>
      </c>
      <c r="J31" s="76">
        <f>IFERROR(VLOOKUP(A31,Calculations!$C$6:$AI$136,15,FALSE),"")</f>
        <v>33</v>
      </c>
      <c r="K31" s="76">
        <f>IFERROR(VLOOKUP(A31,Calculations!$C$6:$AI$136,16,FALSE),"")</f>
        <v>34</v>
      </c>
      <c r="L31" s="76">
        <f>IFERROR(VLOOKUP(A31,Calculations!$C$6:$AI$136,17,FALSE),"")</f>
        <v>35</v>
      </c>
      <c r="M31" s="76" t="str">
        <f>IFERROR(VLOOKUP(A31,Calculations!$C$6:$AI$136,18,FALSE),"")</f>
        <v/>
      </c>
      <c r="N31" s="76" t="str">
        <f>IFERROR(VLOOKUP(A31,Calculations!$C$6:$AI$136,19,FALSE),"")</f>
        <v/>
      </c>
      <c r="O31" s="77" t="str">
        <f>IFERROR(VLOOKUP(A31,Calculations!$C$6:$AI$136,20,FALSE),"")</f>
        <v/>
      </c>
      <c r="P31" s="77" t="str">
        <f>IFERROR(VLOOKUP(A31,Calculations!$C$6:$AI$136,21,FALSE),"")</f>
        <v/>
      </c>
      <c r="Q31" s="77" t="str">
        <f>IFERROR(VLOOKUP(A31,Calculations!$C$6:$AI$136,22,FALSE),"")</f>
        <v/>
      </c>
      <c r="R31" s="77">
        <f>IFERROR(VLOOKUP(A31,Calculations!$C$6:$AI$136,23,FALSE),"")</f>
        <v>0.91666666666666663</v>
      </c>
      <c r="S31" s="77">
        <f>IFERROR(VLOOKUP(A31,Calculations!$C$6:$AI$136,24,FALSE),"")</f>
        <v>0.89473684210526316</v>
      </c>
      <c r="T31" s="77">
        <f>IFERROR(VLOOKUP(A31,Calculations!$C$6:$AI$136,25,FALSE),"")</f>
        <v>0.94594594594594594</v>
      </c>
      <c r="U31" s="77" t="str">
        <f>IFERROR(VLOOKUP(A31,Calculations!$C$6:$AI$136,26,FALSE),"")</f>
        <v/>
      </c>
      <c r="V31" s="77" t="str">
        <f>IFERROR(VLOOKUP(A31,Calculations!$C$6:$AI$136,27,FALSE),"")</f>
        <v/>
      </c>
      <c r="W31" s="77" t="str">
        <f>IFERROR(VLOOKUP(A31,Calculations!$C$6:$AI$136,32,FALSE),"")</f>
        <v/>
      </c>
      <c r="X31" s="77" t="str">
        <f>IFERROR(VLOOKUP(A31,Calculations!$C$6:$AI$136,33,FALSE),"")</f>
        <v/>
      </c>
      <c r="Y31" s="58">
        <f>IFERROR(VLOOKUP(A31,Calculations!$C$6:$AI$136,28,FALSE),"")</f>
        <v>3</v>
      </c>
      <c r="Z31" s="55">
        <f>IFERROR(VLOOKUP(A31,Calculations!$C$6:$AI$136,30,FALSE),"")</f>
        <v>0.91911648490595865</v>
      </c>
    </row>
    <row r="32" spans="1:26" ht="15" x14ac:dyDescent="0.3">
      <c r="A32" s="36">
        <v>30</v>
      </c>
      <c r="B32" s="35" t="str">
        <f>IFERROR(VLOOKUP(A32,Calculations!$C$6:$AI$136,4,FALSE),"")</f>
        <v>Barry Warren</v>
      </c>
      <c r="C32" s="75">
        <f>IFERROR(VLOOKUP(A32,Calculations!$C$6:$AI$136,5,FALSE),"")</f>
        <v>1616</v>
      </c>
      <c r="D32" s="75" t="str">
        <f>IFERROR(VLOOKUP(A32,Calculations!$C$6:$AI$136,6,FALSE),"")</f>
        <v>AA</v>
      </c>
      <c r="E32" s="75" t="str">
        <f>IFERROR(VLOOKUP(A32,Calculations!$C$6:$AI$136,9,FALSE),"")</f>
        <v>PCP</v>
      </c>
      <c r="F32" s="75" t="str">
        <f>IFERROR(VLOOKUP(A32,Calculations!$C$6:$AI$136,10,FALSE),"")</f>
        <v>Carisbrooke</v>
      </c>
      <c r="G32" s="76">
        <f>IFERROR(VLOOKUP(A32,Calculations!$C$6:$AI$136,12,FALSE),"")</f>
        <v>32</v>
      </c>
      <c r="H32" s="76" t="str">
        <f>IFERROR(VLOOKUP(A32,Calculations!$C$6:$AI$136,13,FALSE),"")</f>
        <v/>
      </c>
      <c r="I32" s="76" t="str">
        <f>IFERROR(VLOOKUP(A32,Calculations!$C$6:$AI$136,14,FALSE),"")</f>
        <v/>
      </c>
      <c r="J32" s="76" t="str">
        <f>IFERROR(VLOOKUP(A32,Calculations!$C$6:$AI$136,15,FALSE),"")</f>
        <v/>
      </c>
      <c r="K32" s="76">
        <f>IFERROR(VLOOKUP(A32,Calculations!$C$6:$AI$136,16,FALSE),"")</f>
        <v>33</v>
      </c>
      <c r="L32" s="76">
        <f>IFERROR(VLOOKUP(A32,Calculations!$C$6:$AI$136,17,FALSE),"")</f>
        <v>34</v>
      </c>
      <c r="M32" s="76" t="str">
        <f>IFERROR(VLOOKUP(A32,Calculations!$C$6:$AI$136,18,FALSE),"")</f>
        <v/>
      </c>
      <c r="N32" s="76" t="str">
        <f>IFERROR(VLOOKUP(A32,Calculations!$C$6:$AI$136,19,FALSE),"")</f>
        <v/>
      </c>
      <c r="O32" s="77">
        <f>IFERROR(VLOOKUP(A32,Calculations!$C$6:$AI$136,20,FALSE),"")</f>
        <v>0.86486486486486491</v>
      </c>
      <c r="P32" s="77" t="str">
        <f>IFERROR(VLOOKUP(A32,Calculations!$C$6:$AI$136,21,FALSE),"")</f>
        <v/>
      </c>
      <c r="Q32" s="77" t="str">
        <f>IFERROR(VLOOKUP(A32,Calculations!$C$6:$AI$136,22,FALSE),"")</f>
        <v/>
      </c>
      <c r="R32" s="77" t="str">
        <f>IFERROR(VLOOKUP(A32,Calculations!$C$6:$AI$136,23,FALSE),"")</f>
        <v/>
      </c>
      <c r="S32" s="77">
        <f>IFERROR(VLOOKUP(A32,Calculations!$C$6:$AI$136,24,FALSE),"")</f>
        <v>0.86842105263157898</v>
      </c>
      <c r="T32" s="77">
        <f>IFERROR(VLOOKUP(A32,Calculations!$C$6:$AI$136,25,FALSE),"")</f>
        <v>0.91891891891891897</v>
      </c>
      <c r="U32" s="77" t="str">
        <f>IFERROR(VLOOKUP(A32,Calculations!$C$6:$AI$136,26,FALSE),"")</f>
        <v/>
      </c>
      <c r="V32" s="77" t="str">
        <f>IFERROR(VLOOKUP(A32,Calculations!$C$6:$AI$136,27,FALSE),"")</f>
        <v/>
      </c>
      <c r="W32" s="77" t="str">
        <f>IFERROR(VLOOKUP(A32,Calculations!$C$6:$AI$136,32,FALSE),"")</f>
        <v/>
      </c>
      <c r="X32" s="77" t="str">
        <f>IFERROR(VLOOKUP(A32,Calculations!$C$6:$AI$136,33,FALSE),"")</f>
        <v/>
      </c>
      <c r="Y32" s="58">
        <f>IFERROR(VLOOKUP(A32,Calculations!$C$6:$AI$136,28,FALSE),"")</f>
        <v>3</v>
      </c>
      <c r="Z32" s="55">
        <f>IFERROR(VLOOKUP(A32,Calculations!$C$6:$AI$136,30,FALSE),"")</f>
        <v>0.88406827880512096</v>
      </c>
    </row>
    <row r="33" spans="1:26" ht="15" x14ac:dyDescent="0.3">
      <c r="A33" s="36">
        <v>31</v>
      </c>
      <c r="B33" s="35" t="str">
        <f>IFERROR(VLOOKUP(A33,Calculations!$C$6:$AI$136,4,FALSE),"")</f>
        <v>Stephen Lucas</v>
      </c>
      <c r="C33" s="75">
        <f>IFERROR(VLOOKUP(A33,Calculations!$C$6:$AI$136,5,FALSE),"")</f>
        <v>1544</v>
      </c>
      <c r="D33" s="75" t="str">
        <f>IFERROR(VLOOKUP(A33,Calculations!$C$6:$AI$136,6,FALSE),"")</f>
        <v>AA</v>
      </c>
      <c r="E33" s="75" t="str">
        <f>IFERROR(VLOOKUP(A33,Calculations!$C$6:$AI$136,9,FALSE),"")</f>
        <v>PCP</v>
      </c>
      <c r="F33" s="75" t="str">
        <f>IFERROR(VLOOKUP(A33,Calculations!$C$6:$AI$136,10,FALSE),"")</f>
        <v>Buccaneers</v>
      </c>
      <c r="G33" s="76" t="str">
        <f>IFERROR(VLOOKUP(A33,Calculations!$C$6:$AI$136,12,FALSE),"")</f>
        <v/>
      </c>
      <c r="H33" s="76" t="str">
        <f>IFERROR(VLOOKUP(A33,Calculations!$C$6:$AI$136,13,FALSE),"")</f>
        <v/>
      </c>
      <c r="I33" s="76" t="str">
        <f>IFERROR(VLOOKUP(A33,Calculations!$C$6:$AI$136,14,FALSE),"")</f>
        <v/>
      </c>
      <c r="J33" s="76">
        <f>IFERROR(VLOOKUP(A33,Calculations!$C$6:$AI$136,15,FALSE),"")</f>
        <v>29</v>
      </c>
      <c r="K33" s="76">
        <f>IFERROR(VLOOKUP(A33,Calculations!$C$6:$AI$136,16,FALSE),"")</f>
        <v>32</v>
      </c>
      <c r="L33" s="76">
        <f>IFERROR(VLOOKUP(A33,Calculations!$C$6:$AI$136,17,FALSE),"")</f>
        <v>36</v>
      </c>
      <c r="M33" s="76" t="str">
        <f>IFERROR(VLOOKUP(A33,Calculations!$C$6:$AI$136,18,FALSE),"")</f>
        <v/>
      </c>
      <c r="N33" s="76" t="str">
        <f>IFERROR(VLOOKUP(A33,Calculations!$C$6:$AI$136,19,FALSE),"")</f>
        <v/>
      </c>
      <c r="O33" s="77" t="str">
        <f>IFERROR(VLOOKUP(A33,Calculations!$C$6:$AI$136,20,FALSE),"")</f>
        <v/>
      </c>
      <c r="P33" s="77" t="str">
        <f>IFERROR(VLOOKUP(A33,Calculations!$C$6:$AI$136,21,FALSE),"")</f>
        <v/>
      </c>
      <c r="Q33" s="77" t="str">
        <f>IFERROR(VLOOKUP(A33,Calculations!$C$6:$AI$136,22,FALSE),"")</f>
        <v/>
      </c>
      <c r="R33" s="77">
        <f>IFERROR(VLOOKUP(A33,Calculations!$C$6:$AI$136,23,FALSE),"")</f>
        <v>0.80555555555555558</v>
      </c>
      <c r="S33" s="77">
        <f>IFERROR(VLOOKUP(A33,Calculations!$C$6:$AI$136,24,FALSE),"")</f>
        <v>0.84210526315789469</v>
      </c>
      <c r="T33" s="77">
        <f>IFERROR(VLOOKUP(A33,Calculations!$C$6:$AI$136,25,FALSE),"")</f>
        <v>0.97297297297297303</v>
      </c>
      <c r="U33" s="77" t="str">
        <f>IFERROR(VLOOKUP(A33,Calculations!$C$6:$AI$136,26,FALSE),"")</f>
        <v/>
      </c>
      <c r="V33" s="77" t="str">
        <f>IFERROR(VLOOKUP(A33,Calculations!$C$6:$AI$136,27,FALSE),"")</f>
        <v/>
      </c>
      <c r="W33" s="77" t="str">
        <f>IFERROR(VLOOKUP(A33,Calculations!$C$6:$AI$136,32,FALSE),"")</f>
        <v/>
      </c>
      <c r="X33" s="77" t="str">
        <f>IFERROR(VLOOKUP(A33,Calculations!$C$6:$AI$136,33,FALSE),"")</f>
        <v/>
      </c>
      <c r="Y33" s="58">
        <f>IFERROR(VLOOKUP(A33,Calculations!$C$6:$AI$136,28,FALSE),"")</f>
        <v>3</v>
      </c>
      <c r="Z33" s="55">
        <f>IFERROR(VLOOKUP(A33,Calculations!$C$6:$AI$136,30,FALSE),"")</f>
        <v>0.87354459722880773</v>
      </c>
    </row>
    <row r="34" spans="1:26" ht="15" x14ac:dyDescent="0.3">
      <c r="A34" s="36">
        <v>32</v>
      </c>
      <c r="B34" s="35" t="str">
        <f>IFERROR(VLOOKUP(A34,Calculations!$C$6:$AI$136,4,FALSE),"")</f>
        <v>Graeme Burn</v>
      </c>
      <c r="C34" s="75" t="str">
        <f>IFERROR(VLOOKUP(A34,Calculations!$C$6:$AI$136,5,FALSE),"")</f>
        <v/>
      </c>
      <c r="D34" s="75" t="str">
        <f>IFERROR(VLOOKUP(A34,Calculations!$C$6:$AI$136,6,FALSE),"")</f>
        <v>B</v>
      </c>
      <c r="E34" s="75" t="str">
        <f>IFERROR(VLOOKUP(A34,Calculations!$C$6:$AI$136,9,FALSE),"")</f>
        <v>Piston</v>
      </c>
      <c r="F34" s="75" t="str">
        <f>IFERROR(VLOOKUP(A34,Calculations!$C$6:$AI$136,10,FALSE),"")</f>
        <v>Weston Warrior</v>
      </c>
      <c r="G34" s="76">
        <f>IFERROR(VLOOKUP(A34,Calculations!$C$6:$AI$136,12,FALSE),"")</f>
        <v>18</v>
      </c>
      <c r="H34" s="76">
        <f>IFERROR(VLOOKUP(A34,Calculations!$C$6:$AI$136,13,FALSE),"")</f>
        <v>20</v>
      </c>
      <c r="I34" s="76">
        <f>IFERROR(VLOOKUP(A34,Calculations!$C$6:$AI$136,14,FALSE),"")</f>
        <v>25</v>
      </c>
      <c r="J34" s="76" t="str">
        <f>IFERROR(VLOOKUP(A34,Calculations!$C$6:$AI$136,15,FALSE),"")</f>
        <v/>
      </c>
      <c r="K34" s="76" t="str">
        <f>IFERROR(VLOOKUP(A34,Calculations!$C$6:$AI$136,16,FALSE),"")</f>
        <v/>
      </c>
      <c r="L34" s="76" t="str">
        <f>IFERROR(VLOOKUP(A34,Calculations!$C$6:$AI$136,17,FALSE),"")</f>
        <v/>
      </c>
      <c r="M34" s="76" t="str">
        <f>IFERROR(VLOOKUP(A34,Calculations!$C$6:$AI$136,18,FALSE),"")</f>
        <v/>
      </c>
      <c r="N34" s="76" t="str">
        <f>IFERROR(VLOOKUP(A34,Calculations!$C$6:$AI$136,19,FALSE),"")</f>
        <v/>
      </c>
      <c r="O34" s="77">
        <f>IFERROR(VLOOKUP(A34,Calculations!$C$6:$AI$136,20,FALSE),"")</f>
        <v>0.48648648648648651</v>
      </c>
      <c r="P34" s="77">
        <f>IFERROR(VLOOKUP(A34,Calculations!$C$6:$AI$136,21,FALSE),"")</f>
        <v>0.64516129032258063</v>
      </c>
      <c r="Q34" s="77">
        <f>IFERROR(VLOOKUP(A34,Calculations!$C$6:$AI$136,22,FALSE),"")</f>
        <v>0.67567567567567566</v>
      </c>
      <c r="R34" s="77" t="str">
        <f>IFERROR(VLOOKUP(A34,Calculations!$C$6:$AI$136,23,FALSE),"")</f>
        <v/>
      </c>
      <c r="S34" s="77" t="str">
        <f>IFERROR(VLOOKUP(A34,Calculations!$C$6:$AI$136,24,FALSE),"")</f>
        <v/>
      </c>
      <c r="T34" s="77" t="str">
        <f>IFERROR(VLOOKUP(A34,Calculations!$C$6:$AI$136,25,FALSE),"")</f>
        <v/>
      </c>
      <c r="U34" s="77" t="str">
        <f>IFERROR(VLOOKUP(A34,Calculations!$C$6:$AI$136,26,FALSE),"")</f>
        <v/>
      </c>
      <c r="V34" s="77" t="str">
        <f>IFERROR(VLOOKUP(A34,Calculations!$C$6:$AI$136,27,FALSE),"")</f>
        <v/>
      </c>
      <c r="W34" s="77" t="str">
        <f>IFERROR(VLOOKUP(A34,Calculations!$C$6:$AI$136,32,FALSE),"")</f>
        <v/>
      </c>
      <c r="X34" s="77" t="str">
        <f>IFERROR(VLOOKUP(A34,Calculations!$C$6:$AI$136,33,FALSE),"")</f>
        <v/>
      </c>
      <c r="Y34" s="58">
        <f>IFERROR(VLOOKUP(A34,Calculations!$C$6:$AI$136,28,FALSE),"")</f>
        <v>3</v>
      </c>
      <c r="Z34" s="55">
        <f>IFERROR(VLOOKUP(A34,Calculations!$C$6:$AI$136,30,FALSE),"")</f>
        <v>0.60244115082824756</v>
      </c>
    </row>
    <row r="35" spans="1:26" ht="15" x14ac:dyDescent="0.3">
      <c r="A35" s="36">
        <v>33</v>
      </c>
      <c r="B35" s="35" t="str">
        <f>IFERROR(VLOOKUP(A35,Calculations!$C$6:$AI$136,4,FALSE),"")</f>
        <v>Kim Mulford</v>
      </c>
      <c r="C35" s="75">
        <f>IFERROR(VLOOKUP(A35,Calculations!$C$6:$AI$136,5,FALSE),"")</f>
        <v>1513</v>
      </c>
      <c r="D35" s="75" t="str">
        <f>IFERROR(VLOOKUP(A35,Calculations!$C$6:$AI$136,6,FALSE),"")</f>
        <v>C</v>
      </c>
      <c r="E35" s="75" t="str">
        <f>IFERROR(VLOOKUP(A35,Calculations!$C$6:$AI$136,9,FALSE),"")</f>
        <v>Piston</v>
      </c>
      <c r="F35" s="75" t="str">
        <f>IFERROR(VLOOKUP(A35,Calculations!$C$6:$AI$136,10,FALSE),"")</f>
        <v>Newbury</v>
      </c>
      <c r="G35" s="76" t="str">
        <f>IFERROR(VLOOKUP(A35,Calculations!$C$6:$AI$136,12,FALSE),"")</f>
        <v/>
      </c>
      <c r="H35" s="76" t="str">
        <f>IFERROR(VLOOKUP(A35,Calculations!$C$6:$AI$136,13,FALSE),"")</f>
        <v/>
      </c>
      <c r="I35" s="76">
        <f>IFERROR(VLOOKUP(A35,Calculations!$C$6:$AI$136,14,FALSE),"")</f>
        <v>26</v>
      </c>
      <c r="J35" s="76">
        <f>IFERROR(VLOOKUP(A35,Calculations!$C$6:$AI$136,15,FALSE),"")</f>
        <v>18</v>
      </c>
      <c r="K35" s="76">
        <f>IFERROR(VLOOKUP(A35,Calculations!$C$6:$AI$136,16,FALSE),"")</f>
        <v>20</v>
      </c>
      <c r="L35" s="76" t="str">
        <f>IFERROR(VLOOKUP(A35,Calculations!$C$6:$AI$136,17,FALSE),"")</f>
        <v/>
      </c>
      <c r="M35" s="76" t="str">
        <f>IFERROR(VLOOKUP(A35,Calculations!$C$6:$AI$136,18,FALSE),"")</f>
        <v/>
      </c>
      <c r="N35" s="76" t="str">
        <f>IFERROR(VLOOKUP(A35,Calculations!$C$6:$AI$136,19,FALSE),"")</f>
        <v/>
      </c>
      <c r="O35" s="77" t="str">
        <f>IFERROR(VLOOKUP(A35,Calculations!$C$6:$AI$136,20,FALSE),"")</f>
        <v/>
      </c>
      <c r="P35" s="77" t="str">
        <f>IFERROR(VLOOKUP(A35,Calculations!$C$6:$AI$136,21,FALSE),"")</f>
        <v/>
      </c>
      <c r="Q35" s="77">
        <f>IFERROR(VLOOKUP(A35,Calculations!$C$6:$AI$136,22,FALSE),"")</f>
        <v>0.70270270270270274</v>
      </c>
      <c r="R35" s="77">
        <f>IFERROR(VLOOKUP(A35,Calculations!$C$6:$AI$136,23,FALSE),"")</f>
        <v>0.5</v>
      </c>
      <c r="S35" s="77">
        <f>IFERROR(VLOOKUP(A35,Calculations!$C$6:$AI$136,24,FALSE),"")</f>
        <v>0.52631578947368418</v>
      </c>
      <c r="T35" s="77" t="str">
        <f>IFERROR(VLOOKUP(A35,Calculations!$C$6:$AI$136,25,FALSE),"")</f>
        <v/>
      </c>
      <c r="U35" s="77" t="str">
        <f>IFERROR(VLOOKUP(A35,Calculations!$C$6:$AI$136,26,FALSE),"")</f>
        <v/>
      </c>
      <c r="V35" s="77" t="str">
        <f>IFERROR(VLOOKUP(A35,Calculations!$C$6:$AI$136,27,FALSE),"")</f>
        <v/>
      </c>
      <c r="W35" s="77" t="str">
        <f>IFERROR(VLOOKUP(A35,Calculations!$C$6:$AI$136,32,FALSE),"")</f>
        <v/>
      </c>
      <c r="X35" s="77" t="str">
        <f>IFERROR(VLOOKUP(A35,Calculations!$C$6:$AI$136,33,FALSE),"")</f>
        <v/>
      </c>
      <c r="Y35" s="58">
        <f>IFERROR(VLOOKUP(A35,Calculations!$C$6:$AI$136,28,FALSE),"")</f>
        <v>3</v>
      </c>
      <c r="Z35" s="55">
        <f>IFERROR(VLOOKUP(A35,Calculations!$C$6:$AI$136,30,FALSE),"")</f>
        <v>0.57633949739212897</v>
      </c>
    </row>
    <row r="36" spans="1:26" ht="15" x14ac:dyDescent="0.3">
      <c r="A36" s="36">
        <v>34</v>
      </c>
      <c r="B36" s="35" t="str">
        <f>IFERROR(VLOOKUP(A36,Calculations!$C$6:$AI$136,4,FALSE),"")</f>
        <v>Richard Bright</v>
      </c>
      <c r="C36" s="75">
        <f>IFERROR(VLOOKUP(A36,Calculations!$C$6:$AI$136,5,FALSE),"")</f>
        <v>1654</v>
      </c>
      <c r="D36" s="75" t="str">
        <f>IFERROR(VLOOKUP(A36,Calculations!$C$6:$AI$136,6,FALSE),"")</f>
        <v>C</v>
      </c>
      <c r="E36" s="75" t="str">
        <f>IFERROR(VLOOKUP(A36,Calculations!$C$6:$AI$136,9,FALSE),"")</f>
        <v>PCP</v>
      </c>
      <c r="F36" s="75" t="str">
        <f>IFERROR(VLOOKUP(A36,Calculations!$C$6:$AI$136,10,FALSE),"")</f>
        <v>Newbury</v>
      </c>
      <c r="G36" s="76">
        <f>IFERROR(VLOOKUP(A36,Calculations!$C$6:$AI$136,12,FALSE),"")</f>
        <v>14</v>
      </c>
      <c r="H36" s="76">
        <f>IFERROR(VLOOKUP(A36,Calculations!$C$6:$AI$136,13,FALSE),"")</f>
        <v>12</v>
      </c>
      <c r="I36" s="76">
        <f>IFERROR(VLOOKUP(A36,Calculations!$C$6:$AI$136,14,FALSE),"")</f>
        <v>20</v>
      </c>
      <c r="J36" s="76" t="str">
        <f>IFERROR(VLOOKUP(A36,Calculations!$C$6:$AI$136,15,FALSE),"")</f>
        <v/>
      </c>
      <c r="K36" s="76" t="str">
        <f>IFERROR(VLOOKUP(A36,Calculations!$C$6:$AI$136,16,FALSE),"")</f>
        <v/>
      </c>
      <c r="L36" s="76" t="str">
        <f>IFERROR(VLOOKUP(A36,Calculations!$C$6:$AI$136,17,FALSE),"")</f>
        <v/>
      </c>
      <c r="M36" s="76" t="str">
        <f>IFERROR(VLOOKUP(A36,Calculations!$C$6:$AI$136,18,FALSE),"")</f>
        <v/>
      </c>
      <c r="N36" s="76" t="str">
        <f>IFERROR(VLOOKUP(A36,Calculations!$C$6:$AI$136,19,FALSE),"")</f>
        <v/>
      </c>
      <c r="O36" s="77">
        <f>IFERROR(VLOOKUP(A36,Calculations!$C$6:$AI$136,20,FALSE),"")</f>
        <v>0.3783783783783784</v>
      </c>
      <c r="P36" s="77">
        <f>IFERROR(VLOOKUP(A36,Calculations!$C$6:$AI$136,21,FALSE),"")</f>
        <v>0.38709677419354838</v>
      </c>
      <c r="Q36" s="77">
        <f>IFERROR(VLOOKUP(A36,Calculations!$C$6:$AI$136,22,FALSE),"")</f>
        <v>0.54054054054054057</v>
      </c>
      <c r="R36" s="77" t="str">
        <f>IFERROR(VLOOKUP(A36,Calculations!$C$6:$AI$136,23,FALSE),"")</f>
        <v/>
      </c>
      <c r="S36" s="77" t="str">
        <f>IFERROR(VLOOKUP(A36,Calculations!$C$6:$AI$136,24,FALSE),"")</f>
        <v/>
      </c>
      <c r="T36" s="77" t="str">
        <f>IFERROR(VLOOKUP(A36,Calculations!$C$6:$AI$136,25,FALSE),"")</f>
        <v/>
      </c>
      <c r="U36" s="77" t="str">
        <f>IFERROR(VLOOKUP(A36,Calculations!$C$6:$AI$136,26,FALSE),"")</f>
        <v/>
      </c>
      <c r="V36" s="77" t="str">
        <f>IFERROR(VLOOKUP(A36,Calculations!$C$6:$AI$136,27,FALSE),"")</f>
        <v/>
      </c>
      <c r="W36" s="77" t="str">
        <f>IFERROR(VLOOKUP(A36,Calculations!$C$6:$AI$136,32,FALSE),"")</f>
        <v/>
      </c>
      <c r="X36" s="77" t="str">
        <f>IFERROR(VLOOKUP(A36,Calculations!$C$6:$AI$136,33,FALSE),"")</f>
        <v/>
      </c>
      <c r="Y36" s="58">
        <f>IFERROR(VLOOKUP(A36,Calculations!$C$6:$AI$136,28,FALSE),"")</f>
        <v>3</v>
      </c>
      <c r="Z36" s="55">
        <f>IFERROR(VLOOKUP(A36,Calculations!$C$6:$AI$136,30,FALSE),"")</f>
        <v>0.43533856437082247</v>
      </c>
    </row>
    <row r="37" spans="1:26" ht="15" x14ac:dyDescent="0.3">
      <c r="A37" s="36">
        <v>35</v>
      </c>
      <c r="B37" s="35" t="str">
        <f>IFERROR(VLOOKUP(A37,Calculations!$C$6:$AI$136,4,FALSE),"")</f>
        <v/>
      </c>
      <c r="C37" s="75" t="str">
        <f>IFERROR(VLOOKUP(A37,Calculations!$C$6:$AI$136,5,FALSE),"")</f>
        <v/>
      </c>
      <c r="D37" s="75" t="str">
        <f>IFERROR(VLOOKUP(A37,Calculations!$C$6:$AI$136,6,FALSE),"")</f>
        <v/>
      </c>
      <c r="E37" s="75" t="str">
        <f>IFERROR(VLOOKUP(A37,Calculations!$C$6:$AI$136,9,FALSE),"")</f>
        <v/>
      </c>
      <c r="F37" s="75" t="str">
        <f>IFERROR(VLOOKUP(A37,Calculations!$C$6:$AI$136,10,FALSE),"")</f>
        <v/>
      </c>
      <c r="G37" s="76" t="str">
        <f>IFERROR(VLOOKUP(A37,Calculations!$C$6:$AI$136,12,FALSE),"")</f>
        <v/>
      </c>
      <c r="H37" s="76" t="str">
        <f>IFERROR(VLOOKUP(A37,Calculations!$C$6:$AI$136,13,FALSE),"")</f>
        <v/>
      </c>
      <c r="I37" s="76" t="str">
        <f>IFERROR(VLOOKUP(A37,Calculations!$C$6:$AI$136,14,FALSE),"")</f>
        <v/>
      </c>
      <c r="J37" s="76" t="str">
        <f>IFERROR(VLOOKUP(A37,Calculations!$C$6:$AI$136,15,FALSE),"")</f>
        <v/>
      </c>
      <c r="K37" s="76" t="str">
        <f>IFERROR(VLOOKUP(A37,Calculations!$C$6:$AI$136,16,FALSE),"")</f>
        <v/>
      </c>
      <c r="L37" s="76" t="str">
        <f>IFERROR(VLOOKUP(A37,Calculations!$C$6:$AI$136,17,FALSE),"")</f>
        <v/>
      </c>
      <c r="M37" s="76" t="str">
        <f>IFERROR(VLOOKUP(A37,Calculations!$C$6:$AI$136,18,FALSE),"")</f>
        <v/>
      </c>
      <c r="N37" s="76" t="str">
        <f>IFERROR(VLOOKUP(A37,Calculations!$C$6:$AI$136,19,FALSE),"")</f>
        <v/>
      </c>
      <c r="O37" s="77" t="str">
        <f>IFERROR(VLOOKUP(A37,Calculations!$C$6:$AI$136,20,FALSE),"")</f>
        <v/>
      </c>
      <c r="P37" s="77" t="str">
        <f>IFERROR(VLOOKUP(A37,Calculations!$C$6:$AI$136,21,FALSE),"")</f>
        <v/>
      </c>
      <c r="Q37" s="77" t="str">
        <f>IFERROR(VLOOKUP(A37,Calculations!$C$6:$AI$136,22,FALSE),"")</f>
        <v/>
      </c>
      <c r="R37" s="77" t="str">
        <f>IFERROR(VLOOKUP(A37,Calculations!$C$6:$AI$136,23,FALSE),"")</f>
        <v/>
      </c>
      <c r="S37" s="77" t="str">
        <f>IFERROR(VLOOKUP(A37,Calculations!$C$6:$AI$136,24,FALSE),"")</f>
        <v/>
      </c>
      <c r="T37" s="77" t="str">
        <f>IFERROR(VLOOKUP(A37,Calculations!$C$6:$AI$136,25,FALSE),"")</f>
        <v/>
      </c>
      <c r="U37" s="77" t="str">
        <f>IFERROR(VLOOKUP(A37,Calculations!$C$6:$AI$136,26,FALSE),"")</f>
        <v/>
      </c>
      <c r="V37" s="77" t="str">
        <f>IFERROR(VLOOKUP(A37,Calculations!$C$6:$AI$136,27,FALSE),"")</f>
        <v/>
      </c>
      <c r="W37" s="77" t="str">
        <f>IFERROR(VLOOKUP(A37,Calculations!$C$6:$AI$136,32,FALSE),"")</f>
        <v/>
      </c>
      <c r="X37" s="77" t="str">
        <f>IFERROR(VLOOKUP(A37,Calculations!$C$6:$AI$136,33,FALSE),"")</f>
        <v/>
      </c>
      <c r="Y37" s="58" t="str">
        <f>IFERROR(VLOOKUP(A37,Calculations!$C$6:$AI$136,28,FALSE),"")</f>
        <v/>
      </c>
      <c r="Z37" s="55" t="str">
        <f>IFERROR(VLOOKUP(A37,Calculations!$C$6:$AI$136,30,FALSE),"")</f>
        <v/>
      </c>
    </row>
    <row r="38" spans="1:26" ht="15" x14ac:dyDescent="0.3">
      <c r="A38" s="36">
        <v>36</v>
      </c>
      <c r="B38" s="35" t="str">
        <f>IFERROR(VLOOKUP(A38,Calculations!$C$6:$AI$136,4,FALSE),"")</f>
        <v>Paul Somerville</v>
      </c>
      <c r="C38" s="75">
        <f>IFERROR(VLOOKUP(A38,Calculations!$C$6:$AI$136,5,FALSE),"")</f>
        <v>1881</v>
      </c>
      <c r="D38" s="75" t="str">
        <f>IFERROR(VLOOKUP(A38,Calculations!$C$6:$AI$136,6,FALSE),"")</f>
        <v>A</v>
      </c>
      <c r="E38" s="75" t="str">
        <f>IFERROR(VLOOKUP(A38,Calculations!$C$6:$AI$136,9,FALSE),"")</f>
        <v>PCP</v>
      </c>
      <c r="F38" s="75" t="str">
        <f>IFERROR(VLOOKUP(A38,Calculations!$C$6:$AI$136,10,FALSE),"")</f>
        <v>Meon</v>
      </c>
      <c r="G38" s="76">
        <f>IFERROR(VLOOKUP(A38,Calculations!$C$6:$AI$136,12,FALSE),"")</f>
        <v>28</v>
      </c>
      <c r="H38" s="76" t="str">
        <f>IFERROR(VLOOKUP(A38,Calculations!$C$6:$AI$136,13,FALSE),"")</f>
        <v/>
      </c>
      <c r="I38" s="76">
        <f>IFERROR(VLOOKUP(A38,Calculations!$C$6:$AI$136,14,FALSE),"")</f>
        <v>31</v>
      </c>
      <c r="J38" s="76" t="str">
        <f>IFERROR(VLOOKUP(A38,Calculations!$C$6:$AI$136,15,FALSE),"")</f>
        <v/>
      </c>
      <c r="K38" s="76" t="str">
        <f>IFERROR(VLOOKUP(A38,Calculations!$C$6:$AI$136,16,FALSE),"")</f>
        <v/>
      </c>
      <c r="L38" s="76" t="str">
        <f>IFERROR(VLOOKUP(A38,Calculations!$C$6:$AI$136,17,FALSE),"")</f>
        <v/>
      </c>
      <c r="M38" s="76" t="str">
        <f>IFERROR(VLOOKUP(A38,Calculations!$C$6:$AI$136,18,FALSE),"")</f>
        <v/>
      </c>
      <c r="N38" s="76" t="str">
        <f>IFERROR(VLOOKUP(A38,Calculations!$C$6:$AI$136,19,FALSE),"")</f>
        <v/>
      </c>
      <c r="O38" s="77">
        <f>IFERROR(VLOOKUP(A38,Calculations!$C$6:$AI$136,20,FALSE),"")</f>
        <v>0.7567567567567568</v>
      </c>
      <c r="P38" s="77" t="str">
        <f>IFERROR(VLOOKUP(A38,Calculations!$C$6:$AI$136,21,FALSE),"")</f>
        <v/>
      </c>
      <c r="Q38" s="77">
        <f>IFERROR(VLOOKUP(A38,Calculations!$C$6:$AI$136,22,FALSE),"")</f>
        <v>0.83783783783783783</v>
      </c>
      <c r="R38" s="77" t="str">
        <f>IFERROR(VLOOKUP(A38,Calculations!$C$6:$AI$136,23,FALSE),"")</f>
        <v/>
      </c>
      <c r="S38" s="77" t="str">
        <f>IFERROR(VLOOKUP(A38,Calculations!$C$6:$AI$136,24,FALSE),"")</f>
        <v/>
      </c>
      <c r="T38" s="77" t="str">
        <f>IFERROR(VLOOKUP(A38,Calculations!$C$6:$AI$136,25,FALSE),"")</f>
        <v/>
      </c>
      <c r="U38" s="77" t="str">
        <f>IFERROR(VLOOKUP(A38,Calculations!$C$6:$AI$136,26,FALSE),"")</f>
        <v/>
      </c>
      <c r="V38" s="77" t="str">
        <f>IFERROR(VLOOKUP(A38,Calculations!$C$6:$AI$136,27,FALSE),"")</f>
        <v/>
      </c>
      <c r="W38" s="77" t="str">
        <f>IFERROR(VLOOKUP(A38,Calculations!$C$6:$AI$136,32,FALSE),"")</f>
        <v/>
      </c>
      <c r="X38" s="77" t="str">
        <f>IFERROR(VLOOKUP(A38,Calculations!$C$6:$AI$136,33,FALSE),"")</f>
        <v/>
      </c>
      <c r="Y38" s="58">
        <f>IFERROR(VLOOKUP(A38,Calculations!$C$6:$AI$136,28,FALSE),"")</f>
        <v>2</v>
      </c>
      <c r="Z38" s="55">
        <f>IFERROR(VLOOKUP(A38,Calculations!$C$6:$AI$136,30,FALSE),"")</f>
        <v>0.79729729729729737</v>
      </c>
    </row>
    <row r="39" spans="1:26" ht="15" x14ac:dyDescent="0.3">
      <c r="A39" s="36">
        <v>37</v>
      </c>
      <c r="B39" s="35" t="str">
        <f>IFERROR(VLOOKUP(A39,Calculations!$C$6:$AI$136,4,FALSE),"")</f>
        <v>Nick Welch</v>
      </c>
      <c r="C39" s="75">
        <f>IFERROR(VLOOKUP(A39,Calculations!$C$6:$AI$136,5,FALSE),"")</f>
        <v>1902</v>
      </c>
      <c r="D39" s="75" t="str">
        <f>IFERROR(VLOOKUP(A39,Calculations!$C$6:$AI$136,6,FALSE),"")</f>
        <v>U/G</v>
      </c>
      <c r="E39" s="75" t="str">
        <f>IFERROR(VLOOKUP(A39,Calculations!$C$6:$AI$136,9,FALSE),"")</f>
        <v>PCP</v>
      </c>
      <c r="F39" s="75" t="str">
        <f>IFERROR(VLOOKUP(A39,Calculations!$C$6:$AI$136,10,FALSE),"")</f>
        <v>Newbury</v>
      </c>
      <c r="G39" s="76" t="str">
        <f>IFERROR(VLOOKUP(A39,Calculations!$C$6:$AI$136,12,FALSE),"")</f>
        <v/>
      </c>
      <c r="H39" s="76" t="str">
        <f>IFERROR(VLOOKUP(A39,Calculations!$C$6:$AI$136,13,FALSE),"")</f>
        <v/>
      </c>
      <c r="I39" s="76">
        <f>IFERROR(VLOOKUP(A39,Calculations!$C$6:$AI$136,14,FALSE),"")</f>
        <v>21</v>
      </c>
      <c r="J39" s="76" t="str">
        <f>IFERROR(VLOOKUP(A39,Calculations!$C$6:$AI$136,15,FALSE),"")</f>
        <v/>
      </c>
      <c r="K39" s="76" t="str">
        <f>IFERROR(VLOOKUP(A39,Calculations!$C$6:$AI$136,16,FALSE),"")</f>
        <v/>
      </c>
      <c r="L39" s="76">
        <f>IFERROR(VLOOKUP(A39,Calculations!$C$6:$AI$136,17,FALSE),"")</f>
        <v>28</v>
      </c>
      <c r="M39" s="76" t="str">
        <f>IFERROR(VLOOKUP(A39,Calculations!$C$6:$AI$136,18,FALSE),"")</f>
        <v/>
      </c>
      <c r="N39" s="76" t="str">
        <f>IFERROR(VLOOKUP(A39,Calculations!$C$6:$AI$136,19,FALSE),"")</f>
        <v/>
      </c>
      <c r="O39" s="77" t="str">
        <f>IFERROR(VLOOKUP(A39,Calculations!$C$6:$AI$136,20,FALSE),"")</f>
        <v/>
      </c>
      <c r="P39" s="77" t="str">
        <f>IFERROR(VLOOKUP(A39,Calculations!$C$6:$AI$136,21,FALSE),"")</f>
        <v/>
      </c>
      <c r="Q39" s="77">
        <f>IFERROR(VLOOKUP(A39,Calculations!$C$6:$AI$136,22,FALSE),"")</f>
        <v>0.56756756756756754</v>
      </c>
      <c r="R39" s="77" t="str">
        <f>IFERROR(VLOOKUP(A39,Calculations!$C$6:$AI$136,23,FALSE),"")</f>
        <v/>
      </c>
      <c r="S39" s="77" t="str">
        <f>IFERROR(VLOOKUP(A39,Calculations!$C$6:$AI$136,24,FALSE),"")</f>
        <v/>
      </c>
      <c r="T39" s="77">
        <f>IFERROR(VLOOKUP(A39,Calculations!$C$6:$AI$136,25,FALSE),"")</f>
        <v>0.7567567567567568</v>
      </c>
      <c r="U39" s="77" t="str">
        <f>IFERROR(VLOOKUP(A39,Calculations!$C$6:$AI$136,26,FALSE),"")</f>
        <v/>
      </c>
      <c r="V39" s="77" t="str">
        <f>IFERROR(VLOOKUP(A39,Calculations!$C$6:$AI$136,27,FALSE),"")</f>
        <v/>
      </c>
      <c r="W39" s="77" t="str">
        <f>IFERROR(VLOOKUP(A39,Calculations!$C$6:$AI$136,32,FALSE),"")</f>
        <v/>
      </c>
      <c r="X39" s="77" t="str">
        <f>IFERROR(VLOOKUP(A39,Calculations!$C$6:$AI$136,33,FALSE),"")</f>
        <v/>
      </c>
      <c r="Y39" s="58">
        <f>IFERROR(VLOOKUP(A39,Calculations!$C$6:$AI$136,28,FALSE),"")</f>
        <v>2</v>
      </c>
      <c r="Z39" s="55">
        <f>IFERROR(VLOOKUP(A39,Calculations!$C$6:$AI$136,30,FALSE),"")</f>
        <v>0.66216216216216217</v>
      </c>
    </row>
    <row r="40" spans="1:26" ht="15" x14ac:dyDescent="0.3">
      <c r="A40" s="36">
        <v>38</v>
      </c>
      <c r="B40" s="35" t="str">
        <f>IFERROR(VLOOKUP(A40,Calculations!$C$6:$AI$136,4,FALSE),"")</f>
        <v>James Woodhead</v>
      </c>
      <c r="C40" s="75">
        <f>IFERROR(VLOOKUP(A40,Calculations!$C$6:$AI$136,5,FALSE),"")</f>
        <v>60</v>
      </c>
      <c r="D40" s="75" t="str">
        <f>IFERROR(VLOOKUP(A40,Calculations!$C$6:$AI$136,6,FALSE),"")</f>
        <v>U/G</v>
      </c>
      <c r="E40" s="75" t="str">
        <f>IFERROR(VLOOKUP(A40,Calculations!$C$6:$AI$136,9,FALSE),"")</f>
        <v>PCP</v>
      </c>
      <c r="F40" s="75" t="str">
        <f>IFERROR(VLOOKUP(A40,Calculations!$C$6:$AI$136,10,FALSE),"")</f>
        <v>Frobury</v>
      </c>
      <c r="G40" s="76">
        <f>IFERROR(VLOOKUP(A40,Calculations!$C$6:$AI$136,12,FALSE),"")</f>
        <v>36</v>
      </c>
      <c r="H40" s="76" t="str">
        <f>IFERROR(VLOOKUP(A40,Calculations!$C$6:$AI$136,13,FALSE),"")</f>
        <v/>
      </c>
      <c r="I40" s="76" t="str">
        <f>IFERROR(VLOOKUP(A40,Calculations!$C$6:$AI$136,14,FALSE),"")</f>
        <v/>
      </c>
      <c r="J40" s="76" t="str">
        <f>IFERROR(VLOOKUP(A40,Calculations!$C$6:$AI$136,15,FALSE),"")</f>
        <v/>
      </c>
      <c r="K40" s="76" t="str">
        <f>IFERROR(VLOOKUP(A40,Calculations!$C$6:$AI$136,16,FALSE),"")</f>
        <v/>
      </c>
      <c r="L40" s="76" t="str">
        <f>IFERROR(VLOOKUP(A40,Calculations!$C$6:$AI$136,17,FALSE),"")</f>
        <v/>
      </c>
      <c r="M40" s="76" t="str">
        <f>IFERROR(VLOOKUP(A40,Calculations!$C$6:$AI$136,18,FALSE),"")</f>
        <v/>
      </c>
      <c r="N40" s="76" t="str">
        <f>IFERROR(VLOOKUP(A40,Calculations!$C$6:$AI$136,19,FALSE),"")</f>
        <v/>
      </c>
      <c r="O40" s="77">
        <f>IFERROR(VLOOKUP(A40,Calculations!$C$6:$AI$136,20,FALSE),"")</f>
        <v>0.97297297297297303</v>
      </c>
      <c r="P40" s="77" t="str">
        <f>IFERROR(VLOOKUP(A40,Calculations!$C$6:$AI$136,21,FALSE),"")</f>
        <v/>
      </c>
      <c r="Q40" s="77" t="str">
        <f>IFERROR(VLOOKUP(A40,Calculations!$C$6:$AI$136,22,FALSE),"")</f>
        <v/>
      </c>
      <c r="R40" s="77" t="str">
        <f>IFERROR(VLOOKUP(A40,Calculations!$C$6:$AI$136,23,FALSE),"")</f>
        <v/>
      </c>
      <c r="S40" s="77" t="str">
        <f>IFERROR(VLOOKUP(A40,Calculations!$C$6:$AI$136,24,FALSE),"")</f>
        <v/>
      </c>
      <c r="T40" s="77" t="str">
        <f>IFERROR(VLOOKUP(A40,Calculations!$C$6:$AI$136,25,FALSE),"")</f>
        <v/>
      </c>
      <c r="U40" s="77" t="str">
        <f>IFERROR(VLOOKUP(A40,Calculations!$C$6:$AI$136,26,FALSE),"")</f>
        <v/>
      </c>
      <c r="V40" s="77" t="str">
        <f>IFERROR(VLOOKUP(A40,Calculations!$C$6:$AI$136,27,FALSE),"")</f>
        <v/>
      </c>
      <c r="W40" s="77" t="str">
        <f>IFERROR(VLOOKUP(A40,Calculations!$C$6:$AI$136,32,FALSE),"")</f>
        <v/>
      </c>
      <c r="X40" s="77" t="str">
        <f>IFERROR(VLOOKUP(A40,Calculations!$C$6:$AI$136,33,FALSE),"")</f>
        <v/>
      </c>
      <c r="Y40" s="58">
        <f>IFERROR(VLOOKUP(A40,Calculations!$C$6:$AI$136,28,FALSE),"")</f>
        <v>1</v>
      </c>
      <c r="Z40" s="55">
        <f>IFERROR(VLOOKUP(A40,Calculations!$C$6:$AI$136,30,FALSE),"")</f>
        <v>0.97297297297297303</v>
      </c>
    </row>
    <row r="41" spans="1:26" ht="15" x14ac:dyDescent="0.3">
      <c r="A41" s="36">
        <v>39</v>
      </c>
      <c r="B41" s="35" t="str">
        <f>IFERROR(VLOOKUP(A41,Calculations!$C$6:$AI$136,4,FALSE),"")</f>
        <v>Simon Treacher</v>
      </c>
      <c r="C41" s="75" t="str">
        <f>IFERROR(VLOOKUP(A41,Calculations!$C$6:$AI$136,5,FALSE),"")</f>
        <v/>
      </c>
      <c r="D41" s="75" t="str">
        <f>IFERROR(VLOOKUP(A41,Calculations!$C$6:$AI$136,6,FALSE),"")</f>
        <v>U/G</v>
      </c>
      <c r="E41" s="75" t="str">
        <f>IFERROR(VLOOKUP(A41,Calculations!$C$6:$AI$136,9,FALSE),"")</f>
        <v>PCP</v>
      </c>
      <c r="F41" s="75" t="str">
        <f>IFERROR(VLOOKUP(A41,Calculations!$C$6:$AI$136,10,FALSE),"")</f>
        <v>Buccaneers</v>
      </c>
      <c r="G41" s="76" t="str">
        <f>IFERROR(VLOOKUP(A41,Calculations!$C$6:$AI$136,12,FALSE),"")</f>
        <v/>
      </c>
      <c r="H41" s="76" t="str">
        <f>IFERROR(VLOOKUP(A41,Calculations!$C$6:$AI$136,13,FALSE),"")</f>
        <v/>
      </c>
      <c r="I41" s="76">
        <f>IFERROR(VLOOKUP(A41,Calculations!$C$6:$AI$136,14,FALSE),"")</f>
        <v>34</v>
      </c>
      <c r="J41" s="76" t="str">
        <f>IFERROR(VLOOKUP(A41,Calculations!$C$6:$AI$136,15,FALSE),"")</f>
        <v/>
      </c>
      <c r="K41" s="76" t="str">
        <f>IFERROR(VLOOKUP(A41,Calculations!$C$6:$AI$136,16,FALSE),"")</f>
        <v/>
      </c>
      <c r="L41" s="76" t="str">
        <f>IFERROR(VLOOKUP(A41,Calculations!$C$6:$AI$136,17,FALSE),"")</f>
        <v/>
      </c>
      <c r="M41" s="76" t="str">
        <f>IFERROR(VLOOKUP(A41,Calculations!$C$6:$AI$136,18,FALSE),"")</f>
        <v/>
      </c>
      <c r="N41" s="76" t="str">
        <f>IFERROR(VLOOKUP(A41,Calculations!$C$6:$AI$136,19,FALSE),"")</f>
        <v/>
      </c>
      <c r="O41" s="77" t="str">
        <f>IFERROR(VLOOKUP(A41,Calculations!$C$6:$AI$136,20,FALSE),"")</f>
        <v/>
      </c>
      <c r="P41" s="77" t="str">
        <f>IFERROR(VLOOKUP(A41,Calculations!$C$6:$AI$136,21,FALSE),"")</f>
        <v/>
      </c>
      <c r="Q41" s="77">
        <f>IFERROR(VLOOKUP(A41,Calculations!$C$6:$AI$136,22,FALSE),"")</f>
        <v>0.91891891891891897</v>
      </c>
      <c r="R41" s="77" t="str">
        <f>IFERROR(VLOOKUP(A41,Calculations!$C$6:$AI$136,23,FALSE),"")</f>
        <v/>
      </c>
      <c r="S41" s="77" t="str">
        <f>IFERROR(VLOOKUP(A41,Calculations!$C$6:$AI$136,24,FALSE),"")</f>
        <v/>
      </c>
      <c r="T41" s="77" t="str">
        <f>IFERROR(VLOOKUP(A41,Calculations!$C$6:$AI$136,25,FALSE),"")</f>
        <v/>
      </c>
      <c r="U41" s="77" t="str">
        <f>IFERROR(VLOOKUP(A41,Calculations!$C$6:$AI$136,26,FALSE),"")</f>
        <v/>
      </c>
      <c r="V41" s="77" t="str">
        <f>IFERROR(VLOOKUP(A41,Calculations!$C$6:$AI$136,27,FALSE),"")</f>
        <v/>
      </c>
      <c r="W41" s="77" t="str">
        <f>IFERROR(VLOOKUP(A41,Calculations!$C$6:$AI$136,32,FALSE),"")</f>
        <v/>
      </c>
      <c r="X41" s="77" t="str">
        <f>IFERROR(VLOOKUP(A41,Calculations!$C$6:$AI$136,33,FALSE),"")</f>
        <v/>
      </c>
      <c r="Y41" s="58">
        <f>IFERROR(VLOOKUP(A41,Calculations!$C$6:$AI$136,28,FALSE),"")</f>
        <v>1</v>
      </c>
      <c r="Z41" s="55">
        <f>IFERROR(VLOOKUP(A41,Calculations!$C$6:$AI$136,30,FALSE),"")</f>
        <v>0.91891891891891897</v>
      </c>
    </row>
    <row r="42" spans="1:26" ht="15" x14ac:dyDescent="0.3">
      <c r="A42" s="36">
        <v>40</v>
      </c>
      <c r="B42" s="35" t="str">
        <f>IFERROR(VLOOKUP(A42,Calculations!$C$6:$AI$136,4,FALSE),"")</f>
        <v>Trevor Parker</v>
      </c>
      <c r="C42" s="75" t="str">
        <f>IFERROR(VLOOKUP(A42,Calculations!$C$6:$AI$136,5,FALSE),"")</f>
        <v/>
      </c>
      <c r="D42" s="75" t="str">
        <f>IFERROR(VLOOKUP(A42,Calculations!$C$6:$AI$136,6,FALSE),"")</f>
        <v>U/G</v>
      </c>
      <c r="E42" s="75" t="str">
        <f>IFERROR(VLOOKUP(A42,Calculations!$C$6:$AI$136,9,FALSE),"")</f>
        <v>PCP</v>
      </c>
      <c r="F42" s="75" t="str">
        <f>IFERROR(VLOOKUP(A42,Calculations!$C$6:$AI$136,10,FALSE),"")</f>
        <v>Buccaneers</v>
      </c>
      <c r="G42" s="76" t="str">
        <f>IFERROR(VLOOKUP(A42,Calculations!$C$6:$AI$136,12,FALSE),"")</f>
        <v/>
      </c>
      <c r="H42" s="76" t="str">
        <f>IFERROR(VLOOKUP(A42,Calculations!$C$6:$AI$136,13,FALSE),"")</f>
        <v/>
      </c>
      <c r="I42" s="76">
        <f>IFERROR(VLOOKUP(A42,Calculations!$C$6:$AI$136,14,FALSE),"")</f>
        <v>29</v>
      </c>
      <c r="J42" s="76" t="str">
        <f>IFERROR(VLOOKUP(A42,Calculations!$C$6:$AI$136,15,FALSE),"")</f>
        <v/>
      </c>
      <c r="K42" s="76" t="str">
        <f>IFERROR(VLOOKUP(A42,Calculations!$C$6:$AI$136,16,FALSE),"")</f>
        <v/>
      </c>
      <c r="L42" s="76" t="str">
        <f>IFERROR(VLOOKUP(A42,Calculations!$C$6:$AI$136,17,FALSE),"")</f>
        <v/>
      </c>
      <c r="M42" s="76" t="str">
        <f>IFERROR(VLOOKUP(A42,Calculations!$C$6:$AI$136,18,FALSE),"")</f>
        <v/>
      </c>
      <c r="N42" s="76" t="str">
        <f>IFERROR(VLOOKUP(A42,Calculations!$C$6:$AI$136,19,FALSE),"")</f>
        <v/>
      </c>
      <c r="O42" s="77" t="str">
        <f>IFERROR(VLOOKUP(A42,Calculations!$C$6:$AI$136,20,FALSE),"")</f>
        <v/>
      </c>
      <c r="P42" s="77" t="str">
        <f>IFERROR(VLOOKUP(A42,Calculations!$C$6:$AI$136,21,FALSE),"")</f>
        <v/>
      </c>
      <c r="Q42" s="77">
        <f>IFERROR(VLOOKUP(A42,Calculations!$C$6:$AI$136,22,FALSE),"")</f>
        <v>0.78378378378378377</v>
      </c>
      <c r="R42" s="77" t="str">
        <f>IFERROR(VLOOKUP(A42,Calculations!$C$6:$AI$136,23,FALSE),"")</f>
        <v/>
      </c>
      <c r="S42" s="77" t="str">
        <f>IFERROR(VLOOKUP(A42,Calculations!$C$6:$AI$136,24,FALSE),"")</f>
        <v/>
      </c>
      <c r="T42" s="77" t="str">
        <f>IFERROR(VLOOKUP(A42,Calculations!$C$6:$AI$136,25,FALSE),"")</f>
        <v/>
      </c>
      <c r="U42" s="77" t="str">
        <f>IFERROR(VLOOKUP(A42,Calculations!$C$6:$AI$136,26,FALSE),"")</f>
        <v/>
      </c>
      <c r="V42" s="77" t="str">
        <f>IFERROR(VLOOKUP(A42,Calculations!$C$6:$AI$136,27,FALSE),"")</f>
        <v/>
      </c>
      <c r="W42" s="77" t="str">
        <f>IFERROR(VLOOKUP(A42,Calculations!$C$6:$AI$136,32,FALSE),"")</f>
        <v/>
      </c>
      <c r="X42" s="77" t="str">
        <f>IFERROR(VLOOKUP(A42,Calculations!$C$6:$AI$136,33,FALSE),"")</f>
        <v/>
      </c>
      <c r="Y42" s="58">
        <f>IFERROR(VLOOKUP(A42,Calculations!$C$6:$AI$136,28,FALSE),"")</f>
        <v>1</v>
      </c>
      <c r="Z42" s="55">
        <f>IFERROR(VLOOKUP(A42,Calculations!$C$6:$AI$136,30,FALSE),"")</f>
        <v>0.78378378378378377</v>
      </c>
    </row>
    <row r="43" spans="1:26" ht="15" x14ac:dyDescent="0.3">
      <c r="A43" s="36">
        <v>41</v>
      </c>
      <c r="B43" s="35" t="str">
        <f>IFERROR(VLOOKUP(A43,Calculations!$C$6:$AI$136,4,FALSE),"")</f>
        <v/>
      </c>
      <c r="C43" s="75" t="str">
        <f>IFERROR(VLOOKUP(A43,Calculations!$C$6:$AI$136,5,FALSE),"")</f>
        <v/>
      </c>
      <c r="D43" s="75" t="str">
        <f>IFERROR(VLOOKUP(A43,Calculations!$C$6:$AI$136,6,FALSE),"")</f>
        <v/>
      </c>
      <c r="E43" s="75" t="str">
        <f>IFERROR(VLOOKUP(A43,Calculations!$C$6:$AI$136,9,FALSE),"")</f>
        <v/>
      </c>
      <c r="F43" s="75" t="str">
        <f>IFERROR(VLOOKUP(A43,Calculations!$C$6:$AI$136,10,FALSE),"")</f>
        <v/>
      </c>
      <c r="G43" s="76" t="str">
        <f>IFERROR(VLOOKUP(A43,Calculations!$C$6:$AI$136,12,FALSE),"")</f>
        <v/>
      </c>
      <c r="H43" s="76" t="str">
        <f>IFERROR(VLOOKUP(A43,Calculations!$C$6:$AI$136,13,FALSE),"")</f>
        <v/>
      </c>
      <c r="I43" s="76" t="str">
        <f>IFERROR(VLOOKUP(A43,Calculations!$C$6:$AI$136,14,FALSE),"")</f>
        <v/>
      </c>
      <c r="J43" s="76" t="str">
        <f>IFERROR(VLOOKUP(A43,Calculations!$C$6:$AI$136,15,FALSE),"")</f>
        <v/>
      </c>
      <c r="K43" s="76" t="str">
        <f>IFERROR(VLOOKUP(A43,Calculations!$C$6:$AI$136,16,FALSE),"")</f>
        <v/>
      </c>
      <c r="L43" s="76" t="str">
        <f>IFERROR(VLOOKUP(A43,Calculations!$C$6:$AI$136,17,FALSE),"")</f>
        <v/>
      </c>
      <c r="M43" s="76" t="str">
        <f>IFERROR(VLOOKUP(A43,Calculations!$C$6:$AI$136,18,FALSE),"")</f>
        <v/>
      </c>
      <c r="N43" s="76" t="str">
        <f>IFERROR(VLOOKUP(A43,Calculations!$C$6:$AI$136,19,FALSE),"")</f>
        <v/>
      </c>
      <c r="O43" s="77" t="str">
        <f>IFERROR(VLOOKUP(A43,Calculations!$C$6:$AI$136,20,FALSE),"")</f>
        <v/>
      </c>
      <c r="P43" s="77" t="str">
        <f>IFERROR(VLOOKUP(A43,Calculations!$C$6:$AI$136,21,FALSE),"")</f>
        <v/>
      </c>
      <c r="Q43" s="77" t="str">
        <f>IFERROR(VLOOKUP(A43,Calculations!$C$6:$AI$136,22,FALSE),"")</f>
        <v/>
      </c>
      <c r="R43" s="77" t="str">
        <f>IFERROR(VLOOKUP(A43,Calculations!$C$6:$AI$136,23,FALSE),"")</f>
        <v/>
      </c>
      <c r="S43" s="77" t="str">
        <f>IFERROR(VLOOKUP(A43,Calculations!$C$6:$AI$136,24,FALSE),"")</f>
        <v/>
      </c>
      <c r="T43" s="77" t="str">
        <f>IFERROR(VLOOKUP(A43,Calculations!$C$6:$AI$136,25,FALSE),"")</f>
        <v/>
      </c>
      <c r="U43" s="77" t="str">
        <f>IFERROR(VLOOKUP(A43,Calculations!$C$6:$AI$136,26,FALSE),"")</f>
        <v/>
      </c>
      <c r="V43" s="77" t="str">
        <f>IFERROR(VLOOKUP(A43,Calculations!$C$6:$AI$136,27,FALSE),"")</f>
        <v/>
      </c>
      <c r="W43" s="77" t="str">
        <f>IFERROR(VLOOKUP(A43,Calculations!$C$6:$AI$136,32,FALSE),"")</f>
        <v/>
      </c>
      <c r="X43" s="77" t="str">
        <f>IFERROR(VLOOKUP(A43,Calculations!$C$6:$AI$136,33,FALSE),"")</f>
        <v/>
      </c>
      <c r="Y43" s="58" t="str">
        <f>IFERROR(VLOOKUP(A43,Calculations!$C$6:$AI$136,28,FALSE),"")</f>
        <v/>
      </c>
      <c r="Z43" s="55" t="str">
        <f>IFERROR(VLOOKUP(A43,Calculations!$C$6:$AI$136,30,FALSE),"")</f>
        <v/>
      </c>
    </row>
    <row r="44" spans="1:26" ht="15" x14ac:dyDescent="0.3">
      <c r="A44" s="36">
        <v>42</v>
      </c>
      <c r="B44" s="35" t="str">
        <f>IFERROR(VLOOKUP(A44,Calculations!$C$6:$AI$136,4,FALSE),"")</f>
        <v>Peter Terry</v>
      </c>
      <c r="C44" s="75">
        <f>IFERROR(VLOOKUP(A44,Calculations!$C$6:$AI$136,5,FALSE),"")</f>
        <v>1346</v>
      </c>
      <c r="D44" s="75" t="str">
        <f>IFERROR(VLOOKUP(A44,Calculations!$C$6:$AI$136,6,FALSE),"")</f>
        <v>B</v>
      </c>
      <c r="E44" s="75" t="str">
        <f>IFERROR(VLOOKUP(A44,Calculations!$C$6:$AI$136,9,FALSE),"")</f>
        <v>PCP</v>
      </c>
      <c r="F44" s="75" t="str">
        <f>IFERROR(VLOOKUP(A44,Calculations!$C$6:$AI$136,10,FALSE),"")</f>
        <v>Newbury</v>
      </c>
      <c r="G44" s="76" t="str">
        <f>IFERROR(VLOOKUP(A44,Calculations!$C$6:$AI$136,12,FALSE),"")</f>
        <v/>
      </c>
      <c r="H44" s="76" t="str">
        <f>IFERROR(VLOOKUP(A44,Calculations!$C$6:$AI$136,13,FALSE),"")</f>
        <v/>
      </c>
      <c r="I44" s="76">
        <f>IFERROR(VLOOKUP(A44,Calculations!$C$6:$AI$136,14,FALSE),"")</f>
        <v>27</v>
      </c>
      <c r="J44" s="76" t="str">
        <f>IFERROR(VLOOKUP(A44,Calculations!$C$6:$AI$136,15,FALSE),"")</f>
        <v/>
      </c>
      <c r="K44" s="76" t="str">
        <f>IFERROR(VLOOKUP(A44,Calculations!$C$6:$AI$136,16,FALSE),"")</f>
        <v/>
      </c>
      <c r="L44" s="76" t="str">
        <f>IFERROR(VLOOKUP(A44,Calculations!$C$6:$AI$136,17,FALSE),"")</f>
        <v/>
      </c>
      <c r="M44" s="76" t="str">
        <f>IFERROR(VLOOKUP(A44,Calculations!$C$6:$AI$136,18,FALSE),"")</f>
        <v/>
      </c>
      <c r="N44" s="76" t="str">
        <f>IFERROR(VLOOKUP(A44,Calculations!$C$6:$AI$136,19,FALSE),"")</f>
        <v/>
      </c>
      <c r="O44" s="77" t="str">
        <f>IFERROR(VLOOKUP(A44,Calculations!$C$6:$AI$136,20,FALSE),"")</f>
        <v/>
      </c>
      <c r="P44" s="77" t="str">
        <f>IFERROR(VLOOKUP(A44,Calculations!$C$6:$AI$136,21,FALSE),"")</f>
        <v/>
      </c>
      <c r="Q44" s="77">
        <f>IFERROR(VLOOKUP(A44,Calculations!$C$6:$AI$136,22,FALSE),"")</f>
        <v>0.72972972972972971</v>
      </c>
      <c r="R44" s="77" t="str">
        <f>IFERROR(VLOOKUP(A44,Calculations!$C$6:$AI$136,23,FALSE),"")</f>
        <v/>
      </c>
      <c r="S44" s="77" t="str">
        <f>IFERROR(VLOOKUP(A44,Calculations!$C$6:$AI$136,24,FALSE),"")</f>
        <v/>
      </c>
      <c r="T44" s="77" t="str">
        <f>IFERROR(VLOOKUP(A44,Calculations!$C$6:$AI$136,25,FALSE),"")</f>
        <v/>
      </c>
      <c r="U44" s="77" t="str">
        <f>IFERROR(VLOOKUP(A44,Calculations!$C$6:$AI$136,26,FALSE),"")</f>
        <v/>
      </c>
      <c r="V44" s="77" t="str">
        <f>IFERROR(VLOOKUP(A44,Calculations!$C$6:$AI$136,27,FALSE),"")</f>
        <v/>
      </c>
      <c r="W44" s="77" t="str">
        <f>IFERROR(VLOOKUP(A44,Calculations!$C$6:$AI$136,32,FALSE),"")</f>
        <v/>
      </c>
      <c r="X44" s="77" t="str">
        <f>IFERROR(VLOOKUP(A44,Calculations!$C$6:$AI$136,33,FALSE),"")</f>
        <v/>
      </c>
      <c r="Y44" s="58">
        <f>IFERROR(VLOOKUP(A44,Calculations!$C$6:$AI$136,28,FALSE),"")</f>
        <v>1</v>
      </c>
      <c r="Z44" s="55">
        <f>IFERROR(VLOOKUP(A44,Calculations!$C$6:$AI$136,30,FALSE),"")</f>
        <v>0.72972972972972971</v>
      </c>
    </row>
    <row r="45" spans="1:26" ht="15" x14ac:dyDescent="0.3">
      <c r="A45" s="36">
        <v>43</v>
      </c>
      <c r="B45" s="35" t="str">
        <f>IFERROR(VLOOKUP(A45,Calculations!$C$6:$AI$136,4,FALSE),"")</f>
        <v>Dean Mason</v>
      </c>
      <c r="C45" s="75">
        <f>IFERROR(VLOOKUP(A45,Calculations!$C$6:$AI$136,5,FALSE),"")</f>
        <v>1884</v>
      </c>
      <c r="D45" s="75" t="str">
        <f>IFERROR(VLOOKUP(A45,Calculations!$C$6:$AI$136,6,FALSE),"")</f>
        <v>B</v>
      </c>
      <c r="E45" s="75" t="str">
        <f>IFERROR(VLOOKUP(A45,Calculations!$C$6:$AI$136,9,FALSE),"")</f>
        <v>PCP</v>
      </c>
      <c r="F45" s="75" t="str">
        <f>IFERROR(VLOOKUP(A45,Calculations!$C$6:$AI$136,10,FALSE),"")</f>
        <v>Buccaneers</v>
      </c>
      <c r="G45" s="76">
        <f>IFERROR(VLOOKUP(A45,Calculations!$C$6:$AI$136,12,FALSE),"")</f>
        <v>23</v>
      </c>
      <c r="H45" s="76" t="str">
        <f>IFERROR(VLOOKUP(A45,Calculations!$C$6:$AI$136,13,FALSE),"")</f>
        <v/>
      </c>
      <c r="I45" s="76" t="str">
        <f>IFERROR(VLOOKUP(A45,Calculations!$C$6:$AI$136,14,FALSE),"")</f>
        <v/>
      </c>
      <c r="J45" s="76" t="str">
        <f>IFERROR(VLOOKUP(A45,Calculations!$C$6:$AI$136,15,FALSE),"")</f>
        <v/>
      </c>
      <c r="K45" s="76" t="str">
        <f>IFERROR(VLOOKUP(A45,Calculations!$C$6:$AI$136,16,FALSE),"")</f>
        <v/>
      </c>
      <c r="L45" s="76" t="str">
        <f>IFERROR(VLOOKUP(A45,Calculations!$C$6:$AI$136,17,FALSE),"")</f>
        <v/>
      </c>
      <c r="M45" s="76" t="str">
        <f>IFERROR(VLOOKUP(A45,Calculations!$C$6:$AI$136,18,FALSE),"")</f>
        <v/>
      </c>
      <c r="N45" s="76" t="str">
        <f>IFERROR(VLOOKUP(A45,Calculations!$C$6:$AI$136,19,FALSE),"")</f>
        <v/>
      </c>
      <c r="O45" s="77">
        <f>IFERROR(VLOOKUP(A45,Calculations!$C$6:$AI$136,20,FALSE),"")</f>
        <v>0.6216216216216216</v>
      </c>
      <c r="P45" s="77" t="str">
        <f>IFERROR(VLOOKUP(A45,Calculations!$C$6:$AI$136,21,FALSE),"")</f>
        <v/>
      </c>
      <c r="Q45" s="77" t="str">
        <f>IFERROR(VLOOKUP(A45,Calculations!$C$6:$AI$136,22,FALSE),"")</f>
        <v/>
      </c>
      <c r="R45" s="77" t="str">
        <f>IFERROR(VLOOKUP(A45,Calculations!$C$6:$AI$136,23,FALSE),"")</f>
        <v/>
      </c>
      <c r="S45" s="77" t="str">
        <f>IFERROR(VLOOKUP(A45,Calculations!$C$6:$AI$136,24,FALSE),"")</f>
        <v/>
      </c>
      <c r="T45" s="77" t="str">
        <f>IFERROR(VLOOKUP(A45,Calculations!$C$6:$AI$136,25,FALSE),"")</f>
        <v/>
      </c>
      <c r="U45" s="77" t="str">
        <f>IFERROR(VLOOKUP(A45,Calculations!$C$6:$AI$136,26,FALSE),"")</f>
        <v/>
      </c>
      <c r="V45" s="77" t="str">
        <f>IFERROR(VLOOKUP(A45,Calculations!$C$6:$AI$136,27,FALSE),"")</f>
        <v/>
      </c>
      <c r="W45" s="77" t="str">
        <f>IFERROR(VLOOKUP(A45,Calculations!$C$6:$AI$136,32,FALSE),"")</f>
        <v/>
      </c>
      <c r="X45" s="77" t="str">
        <f>IFERROR(VLOOKUP(A45,Calculations!$C$6:$AI$136,33,FALSE),"")</f>
        <v/>
      </c>
      <c r="Y45" s="58">
        <f>IFERROR(VLOOKUP(A45,Calculations!$C$6:$AI$136,28,FALSE),"")</f>
        <v>1</v>
      </c>
      <c r="Z45" s="55">
        <f>IFERROR(VLOOKUP(A45,Calculations!$C$6:$AI$136,30,FALSE),"")</f>
        <v>0.6216216216216216</v>
      </c>
    </row>
    <row r="46" spans="1:26" ht="15" x14ac:dyDescent="0.3">
      <c r="A46" s="36">
        <v>44</v>
      </c>
      <c r="B46" s="35" t="str">
        <f>IFERROR(VLOOKUP(A46,Calculations!$C$6:$AI$136,4,FALSE),"")</f>
        <v/>
      </c>
      <c r="C46" s="75" t="str">
        <f>IFERROR(VLOOKUP(A46,Calculations!$C$6:$AI$136,5,FALSE),"")</f>
        <v/>
      </c>
      <c r="D46" s="75" t="str">
        <f>IFERROR(VLOOKUP(A46,Calculations!$C$6:$AI$136,6,FALSE),"")</f>
        <v/>
      </c>
      <c r="E46" s="75" t="str">
        <f>IFERROR(VLOOKUP(A46,Calculations!$C$6:$AI$136,9,FALSE),"")</f>
        <v/>
      </c>
      <c r="F46" s="75" t="str">
        <f>IFERROR(VLOOKUP(A46,Calculations!$C$6:$AI$136,10,FALSE),"")</f>
        <v/>
      </c>
      <c r="G46" s="76" t="str">
        <f>IFERROR(VLOOKUP(A46,Calculations!$C$6:$AI$136,12,FALSE),"")</f>
        <v/>
      </c>
      <c r="H46" s="76" t="str">
        <f>IFERROR(VLOOKUP(A46,Calculations!$C$6:$AI$136,13,FALSE),"")</f>
        <v/>
      </c>
      <c r="I46" s="76" t="str">
        <f>IFERROR(VLOOKUP(A46,Calculations!$C$6:$AI$136,14,FALSE),"")</f>
        <v/>
      </c>
      <c r="J46" s="76" t="str">
        <f>IFERROR(VLOOKUP(A46,Calculations!$C$6:$AI$136,15,FALSE),"")</f>
        <v/>
      </c>
      <c r="K46" s="76" t="str">
        <f>IFERROR(VLOOKUP(A46,Calculations!$C$6:$AI$136,16,FALSE),"")</f>
        <v/>
      </c>
      <c r="L46" s="76" t="str">
        <f>IFERROR(VLOOKUP(A46,Calculations!$C$6:$AI$136,17,FALSE),"")</f>
        <v/>
      </c>
      <c r="M46" s="76" t="str">
        <f>IFERROR(VLOOKUP(A46,Calculations!$C$6:$AI$136,18,FALSE),"")</f>
        <v/>
      </c>
      <c r="N46" s="76" t="str">
        <f>IFERROR(VLOOKUP(A46,Calculations!$C$6:$AI$136,19,FALSE),"")</f>
        <v/>
      </c>
      <c r="O46" s="77" t="str">
        <f>IFERROR(VLOOKUP(A46,Calculations!$C$6:$AI$136,20,FALSE),"")</f>
        <v/>
      </c>
      <c r="P46" s="77" t="str">
        <f>IFERROR(VLOOKUP(A46,Calculations!$C$6:$AI$136,21,FALSE),"")</f>
        <v/>
      </c>
      <c r="Q46" s="77" t="str">
        <f>IFERROR(VLOOKUP(A46,Calculations!$C$6:$AI$136,22,FALSE),"")</f>
        <v/>
      </c>
      <c r="R46" s="77" t="str">
        <f>IFERROR(VLOOKUP(A46,Calculations!$C$6:$AI$136,23,FALSE),"")</f>
        <v/>
      </c>
      <c r="S46" s="77" t="str">
        <f>IFERROR(VLOOKUP(A46,Calculations!$C$6:$AI$136,24,FALSE),"")</f>
        <v/>
      </c>
      <c r="T46" s="77" t="str">
        <f>IFERROR(VLOOKUP(A46,Calculations!$C$6:$AI$136,25,FALSE),"")</f>
        <v/>
      </c>
      <c r="U46" s="77" t="str">
        <f>IFERROR(VLOOKUP(A46,Calculations!$C$6:$AI$136,26,FALSE),"")</f>
        <v/>
      </c>
      <c r="V46" s="77" t="str">
        <f>IFERROR(VLOOKUP(A46,Calculations!$C$6:$AI$136,27,FALSE),"")</f>
        <v/>
      </c>
      <c r="W46" s="77" t="str">
        <f>IFERROR(VLOOKUP(A46,Calculations!$C$6:$AI$136,32,FALSE),"")</f>
        <v/>
      </c>
      <c r="X46" s="77" t="str">
        <f>IFERROR(VLOOKUP(A46,Calculations!$C$6:$AI$136,33,FALSE),"")</f>
        <v/>
      </c>
      <c r="Y46" s="58" t="str">
        <f>IFERROR(VLOOKUP(A46,Calculations!$C$6:$AI$136,28,FALSE),"")</f>
        <v/>
      </c>
      <c r="Z46" s="55" t="str">
        <f>IFERROR(VLOOKUP(A46,Calculations!$C$6:$AI$136,30,FALSE),"")</f>
        <v/>
      </c>
    </row>
    <row r="47" spans="1:26" ht="15" x14ac:dyDescent="0.3">
      <c r="A47" s="36">
        <v>45</v>
      </c>
      <c r="B47" s="35" t="str">
        <f>IFERROR(VLOOKUP(A47,Calculations!$C$6:$AI$136,4,FALSE),"")</f>
        <v>Jonathan Hawes</v>
      </c>
      <c r="C47" s="75">
        <f>IFERROR(VLOOKUP(A47,Calculations!$C$6:$AI$136,5,FALSE),"")</f>
        <v>449</v>
      </c>
      <c r="D47" s="75" t="str">
        <f>IFERROR(VLOOKUP(A47,Calculations!$C$6:$AI$136,6,FALSE),"")</f>
        <v>B</v>
      </c>
      <c r="E47" s="75" t="str">
        <f>IFERROR(VLOOKUP(A47,Calculations!$C$6:$AI$136,9,FALSE),"")</f>
        <v>PCP</v>
      </c>
      <c r="F47" s="75" t="str">
        <f>IFERROR(VLOOKUP(A47,Calculations!$C$6:$AI$136,10,FALSE),"")</f>
        <v>Newbury</v>
      </c>
      <c r="G47" s="76" t="str">
        <f>IFERROR(VLOOKUP(A47,Calculations!$C$6:$AI$136,12,FALSE),"")</f>
        <v/>
      </c>
      <c r="H47" s="76" t="str">
        <f>IFERROR(VLOOKUP(A47,Calculations!$C$6:$AI$136,13,FALSE),"")</f>
        <v/>
      </c>
      <c r="I47" s="76">
        <f>IFERROR(VLOOKUP(A47,Calculations!$C$6:$AI$136,14,FALSE),"")</f>
        <v>21</v>
      </c>
      <c r="J47" s="76" t="str">
        <f>IFERROR(VLOOKUP(A47,Calculations!$C$6:$AI$136,15,FALSE),"")</f>
        <v/>
      </c>
      <c r="K47" s="76" t="str">
        <f>IFERROR(VLOOKUP(A47,Calculations!$C$6:$AI$136,16,FALSE),"")</f>
        <v/>
      </c>
      <c r="L47" s="76" t="str">
        <f>IFERROR(VLOOKUP(A47,Calculations!$C$6:$AI$136,17,FALSE),"")</f>
        <v/>
      </c>
      <c r="M47" s="76" t="str">
        <f>IFERROR(VLOOKUP(A47,Calculations!$C$6:$AI$136,18,FALSE),"")</f>
        <v/>
      </c>
      <c r="N47" s="76" t="str">
        <f>IFERROR(VLOOKUP(A47,Calculations!$C$6:$AI$136,19,FALSE),"")</f>
        <v/>
      </c>
      <c r="O47" s="77" t="str">
        <f>IFERROR(VLOOKUP(A47,Calculations!$C$6:$AI$136,20,FALSE),"")</f>
        <v/>
      </c>
      <c r="P47" s="77" t="str">
        <f>IFERROR(VLOOKUP(A47,Calculations!$C$6:$AI$136,21,FALSE),"")</f>
        <v/>
      </c>
      <c r="Q47" s="77">
        <f>IFERROR(VLOOKUP(A47,Calculations!$C$6:$AI$136,22,FALSE),"")</f>
        <v>0.56756756756756754</v>
      </c>
      <c r="R47" s="77" t="str">
        <f>IFERROR(VLOOKUP(A47,Calculations!$C$6:$AI$136,23,FALSE),"")</f>
        <v/>
      </c>
      <c r="S47" s="77" t="str">
        <f>IFERROR(VLOOKUP(A47,Calculations!$C$6:$AI$136,24,FALSE),"")</f>
        <v/>
      </c>
      <c r="T47" s="77" t="str">
        <f>IFERROR(VLOOKUP(A47,Calculations!$C$6:$AI$136,25,FALSE),"")</f>
        <v/>
      </c>
      <c r="U47" s="77" t="str">
        <f>IFERROR(VLOOKUP(A47,Calculations!$C$6:$AI$136,26,FALSE),"")</f>
        <v/>
      </c>
      <c r="V47" s="77" t="str">
        <f>IFERROR(VLOOKUP(A47,Calculations!$C$6:$AI$136,27,FALSE),"")</f>
        <v/>
      </c>
      <c r="W47" s="77" t="str">
        <f>IFERROR(VLOOKUP(A47,Calculations!$C$6:$AI$136,32,FALSE),"")</f>
        <v/>
      </c>
      <c r="X47" s="77" t="str">
        <f>IFERROR(VLOOKUP(A47,Calculations!$C$6:$AI$136,33,FALSE),"")</f>
        <v/>
      </c>
      <c r="Y47" s="58">
        <f>IFERROR(VLOOKUP(A47,Calculations!$C$6:$AI$136,28,FALSE),"")</f>
        <v>1</v>
      </c>
      <c r="Z47" s="55">
        <f>IFERROR(VLOOKUP(A47,Calculations!$C$6:$AI$136,30,FALSE),"")</f>
        <v>0.56756756756756754</v>
      </c>
    </row>
    <row r="48" spans="1:26" ht="15" x14ac:dyDescent="0.3">
      <c r="A48" s="36">
        <v>46</v>
      </c>
      <c r="B48" s="35" t="str">
        <f>IFERROR(VLOOKUP(A48,Calculations!$C$6:$AI$136,4,FALSE),"")</f>
        <v>Josh Wood</v>
      </c>
      <c r="C48" s="75">
        <f>IFERROR(VLOOKUP(A48,Calculations!$C$6:$AI$136,5,FALSE),"")</f>
        <v>1904</v>
      </c>
      <c r="D48" s="75" t="str">
        <f>IFERROR(VLOOKUP(A48,Calculations!$C$6:$AI$136,6,FALSE),"")</f>
        <v>C</v>
      </c>
      <c r="E48" s="75" t="str">
        <f>IFERROR(VLOOKUP(A48,Calculations!$C$6:$AI$136,9,FALSE),"")</f>
        <v>PCP</v>
      </c>
      <c r="F48" s="75" t="str">
        <f>IFERROR(VLOOKUP(A48,Calculations!$C$6:$AI$136,10,FALSE),"")</f>
        <v>Meon</v>
      </c>
      <c r="G48" s="76">
        <f>IFERROR(VLOOKUP(A48,Calculations!$C$6:$AI$136,12,FALSE),"")</f>
        <v>18</v>
      </c>
      <c r="H48" s="76" t="str">
        <f>IFERROR(VLOOKUP(A48,Calculations!$C$6:$AI$136,13,FALSE),"")</f>
        <v/>
      </c>
      <c r="I48" s="76" t="str">
        <f>IFERROR(VLOOKUP(A48,Calculations!$C$6:$AI$136,14,FALSE),"")</f>
        <v/>
      </c>
      <c r="J48" s="76" t="str">
        <f>IFERROR(VLOOKUP(A48,Calculations!$C$6:$AI$136,15,FALSE),"")</f>
        <v/>
      </c>
      <c r="K48" s="76" t="str">
        <f>IFERROR(VLOOKUP(A48,Calculations!$C$6:$AI$136,16,FALSE),"")</f>
        <v/>
      </c>
      <c r="L48" s="76" t="str">
        <f>IFERROR(VLOOKUP(A48,Calculations!$C$6:$AI$136,17,FALSE),"")</f>
        <v/>
      </c>
      <c r="M48" s="76" t="str">
        <f>IFERROR(VLOOKUP(A48,Calculations!$C$6:$AI$136,18,FALSE),"")</f>
        <v/>
      </c>
      <c r="N48" s="76" t="str">
        <f>IFERROR(VLOOKUP(A48,Calculations!$C$6:$AI$136,19,FALSE),"")</f>
        <v/>
      </c>
      <c r="O48" s="77">
        <f>IFERROR(VLOOKUP(A48,Calculations!$C$6:$AI$136,20,FALSE),"")</f>
        <v>0.48648648648648651</v>
      </c>
      <c r="P48" s="77" t="str">
        <f>IFERROR(VLOOKUP(A48,Calculations!$C$6:$AI$136,21,FALSE),"")</f>
        <v/>
      </c>
      <c r="Q48" s="77" t="str">
        <f>IFERROR(VLOOKUP(A48,Calculations!$C$6:$AI$136,22,FALSE),"")</f>
        <v/>
      </c>
      <c r="R48" s="77" t="str">
        <f>IFERROR(VLOOKUP(A48,Calculations!$C$6:$AI$136,23,FALSE),"")</f>
        <v/>
      </c>
      <c r="S48" s="77" t="str">
        <f>IFERROR(VLOOKUP(A48,Calculations!$C$6:$AI$136,24,FALSE),"")</f>
        <v/>
      </c>
      <c r="T48" s="77" t="str">
        <f>IFERROR(VLOOKUP(A48,Calculations!$C$6:$AI$136,25,FALSE),"")</f>
        <v/>
      </c>
      <c r="U48" s="77" t="str">
        <f>IFERROR(VLOOKUP(A48,Calculations!$C$6:$AI$136,26,FALSE),"")</f>
        <v/>
      </c>
      <c r="V48" s="77" t="str">
        <f>IFERROR(VLOOKUP(A48,Calculations!$C$6:$AI$136,27,FALSE),"")</f>
        <v/>
      </c>
      <c r="W48" s="77" t="str">
        <f>IFERROR(VLOOKUP(A48,Calculations!$C$6:$AI$136,32,FALSE),"")</f>
        <v/>
      </c>
      <c r="X48" s="77" t="str">
        <f>IFERROR(VLOOKUP(A48,Calculations!$C$6:$AI$136,33,FALSE),"")</f>
        <v/>
      </c>
      <c r="Y48" s="58">
        <f>IFERROR(VLOOKUP(A48,Calculations!$C$6:$AI$136,28,FALSE),"")</f>
        <v>1</v>
      </c>
      <c r="Z48" s="55">
        <f>IFERROR(VLOOKUP(A48,Calculations!$C$6:$AI$136,30,FALSE),"")</f>
        <v>0.48648648648648651</v>
      </c>
    </row>
    <row r="49" spans="1:26" ht="15" x14ac:dyDescent="0.3">
      <c r="A49" s="36">
        <v>47</v>
      </c>
      <c r="B49" s="35" t="str">
        <f>IFERROR(VLOOKUP(A49,Calculations!$C$6:$AI$136,4,FALSE),"")</f>
        <v>Gordon Bishop</v>
      </c>
      <c r="C49" s="75">
        <f>IFERROR(VLOOKUP(A49,Calculations!$C$6:$AI$136,5,FALSE),"")</f>
        <v>1827</v>
      </c>
      <c r="D49" s="75" t="str">
        <f>IFERROR(VLOOKUP(A49,Calculations!$C$6:$AI$136,6,FALSE),"")</f>
        <v>U/G</v>
      </c>
      <c r="E49" s="75" t="str">
        <f>IFERROR(VLOOKUP(A49,Calculations!$C$6:$AI$136,9,FALSE),"")</f>
        <v>PCP</v>
      </c>
      <c r="F49" s="75" t="str">
        <f>IFERROR(VLOOKUP(A49,Calculations!$C$6:$AI$136,10,FALSE),"")</f>
        <v>Newbury</v>
      </c>
      <c r="G49" s="76" t="str">
        <f>IFERROR(VLOOKUP(A49,Calculations!$C$6:$AI$136,12,FALSE),"")</f>
        <v/>
      </c>
      <c r="H49" s="76" t="str">
        <f>IFERROR(VLOOKUP(A49,Calculations!$C$6:$AI$136,13,FALSE),"")</f>
        <v/>
      </c>
      <c r="I49" s="76" t="str">
        <f>IFERROR(VLOOKUP(A49,Calculations!$C$6:$AI$136,14,FALSE),"")</f>
        <v/>
      </c>
      <c r="J49" s="76">
        <f>IFERROR(VLOOKUP(A49,Calculations!$C$6:$AI$136,15,FALSE),"")</f>
        <v>15</v>
      </c>
      <c r="K49" s="76" t="str">
        <f>IFERROR(VLOOKUP(A49,Calculations!$C$6:$AI$136,16,FALSE),"")</f>
        <v/>
      </c>
      <c r="L49" s="76" t="str">
        <f>IFERROR(VLOOKUP(A49,Calculations!$C$6:$AI$136,17,FALSE),"")</f>
        <v/>
      </c>
      <c r="M49" s="76" t="str">
        <f>IFERROR(VLOOKUP(A49,Calculations!$C$6:$AI$136,18,FALSE),"")</f>
        <v/>
      </c>
      <c r="N49" s="76" t="str">
        <f>IFERROR(VLOOKUP(A49,Calculations!$C$6:$AI$136,19,FALSE),"")</f>
        <v/>
      </c>
      <c r="O49" s="77" t="str">
        <f>IFERROR(VLOOKUP(A49,Calculations!$C$6:$AI$136,20,FALSE),"")</f>
        <v/>
      </c>
      <c r="P49" s="77" t="str">
        <f>IFERROR(VLOOKUP(A49,Calculations!$C$6:$AI$136,21,FALSE),"")</f>
        <v/>
      </c>
      <c r="Q49" s="77" t="str">
        <f>IFERROR(VLOOKUP(A49,Calculations!$C$6:$AI$136,22,FALSE),"")</f>
        <v/>
      </c>
      <c r="R49" s="77">
        <f>IFERROR(VLOOKUP(A49,Calculations!$C$6:$AI$136,23,FALSE),"")</f>
        <v>0.41666666666666669</v>
      </c>
      <c r="S49" s="77" t="str">
        <f>IFERROR(VLOOKUP(A49,Calculations!$C$6:$AI$136,24,FALSE),"")</f>
        <v/>
      </c>
      <c r="T49" s="77" t="str">
        <f>IFERROR(VLOOKUP(A49,Calculations!$C$6:$AI$136,25,FALSE),"")</f>
        <v/>
      </c>
      <c r="U49" s="77" t="str">
        <f>IFERROR(VLOOKUP(A49,Calculations!$C$6:$AI$136,26,FALSE),"")</f>
        <v/>
      </c>
      <c r="V49" s="77" t="str">
        <f>IFERROR(VLOOKUP(A49,Calculations!$C$6:$AI$136,27,FALSE),"")</f>
        <v/>
      </c>
      <c r="W49" s="77" t="str">
        <f>IFERROR(VLOOKUP(A49,Calculations!$C$6:$AI$136,32,FALSE),"")</f>
        <v/>
      </c>
      <c r="X49" s="77" t="str">
        <f>IFERROR(VLOOKUP(A49,Calculations!$C$6:$AI$136,33,FALSE),"")</f>
        <v/>
      </c>
      <c r="Y49" s="58">
        <f>IFERROR(VLOOKUP(A49,Calculations!$C$6:$AI$136,28,FALSE),"")</f>
        <v>1</v>
      </c>
      <c r="Z49" s="55">
        <f>IFERROR(VLOOKUP(A49,Calculations!$C$6:$AI$136,30,FALSE),"")</f>
        <v>0.41666666666666669</v>
      </c>
    </row>
    <row r="50" spans="1:26" ht="15" x14ac:dyDescent="0.3">
      <c r="A50" s="36">
        <v>48</v>
      </c>
      <c r="B50" s="35" t="str">
        <f>IFERROR(VLOOKUP(A50,Calculations!$C$6:$AI$136,4,FALSE),"")</f>
        <v/>
      </c>
      <c r="C50" s="75" t="str">
        <f>IFERROR(VLOOKUP(A50,Calculations!$C$6:$AI$136,5,FALSE),"")</f>
        <v/>
      </c>
      <c r="D50" s="75" t="str">
        <f>IFERROR(VLOOKUP(A50,Calculations!$C$6:$AI$136,6,FALSE),"")</f>
        <v/>
      </c>
      <c r="E50" s="75" t="str">
        <f>IFERROR(VLOOKUP(A50,Calculations!$C$6:$AI$136,9,FALSE),"")</f>
        <v/>
      </c>
      <c r="F50" s="75" t="str">
        <f>IFERROR(VLOOKUP(A50,Calculations!$C$6:$AI$136,10,FALSE),"")</f>
        <v/>
      </c>
      <c r="G50" s="76" t="str">
        <f>IFERROR(VLOOKUP(A50,Calculations!$C$6:$AI$136,12,FALSE),"")</f>
        <v/>
      </c>
      <c r="H50" s="76" t="str">
        <f>IFERROR(VLOOKUP(A50,Calculations!$C$6:$AI$136,13,FALSE),"")</f>
        <v/>
      </c>
      <c r="I50" s="76" t="str">
        <f>IFERROR(VLOOKUP(A50,Calculations!$C$6:$AI$136,14,FALSE),"")</f>
        <v/>
      </c>
      <c r="J50" s="76" t="str">
        <f>IFERROR(VLOOKUP(A50,Calculations!$C$6:$AI$136,15,FALSE),"")</f>
        <v/>
      </c>
      <c r="K50" s="76" t="str">
        <f>IFERROR(VLOOKUP(A50,Calculations!$C$6:$AI$136,16,FALSE),"")</f>
        <v/>
      </c>
      <c r="L50" s="76" t="str">
        <f>IFERROR(VLOOKUP(A50,Calculations!$C$6:$AI$136,17,FALSE),"")</f>
        <v/>
      </c>
      <c r="M50" s="76" t="str">
        <f>IFERROR(VLOOKUP(A50,Calculations!$C$6:$AI$136,18,FALSE),"")</f>
        <v/>
      </c>
      <c r="N50" s="76" t="str">
        <f>IFERROR(VLOOKUP(A50,Calculations!$C$6:$AI$136,19,FALSE),"")</f>
        <v/>
      </c>
      <c r="O50" s="77" t="str">
        <f>IFERROR(VLOOKUP(A50,Calculations!$C$6:$AI$136,20,FALSE),"")</f>
        <v/>
      </c>
      <c r="P50" s="77" t="str">
        <f>IFERROR(VLOOKUP(A50,Calculations!$C$6:$AI$136,21,FALSE),"")</f>
        <v/>
      </c>
      <c r="Q50" s="77" t="str">
        <f>IFERROR(VLOOKUP(A50,Calculations!$C$6:$AI$136,22,FALSE),"")</f>
        <v/>
      </c>
      <c r="R50" s="77" t="str">
        <f>IFERROR(VLOOKUP(A50,Calculations!$C$6:$AI$136,23,FALSE),"")</f>
        <v/>
      </c>
      <c r="S50" s="77" t="str">
        <f>IFERROR(VLOOKUP(A50,Calculations!$C$6:$AI$136,24,FALSE),"")</f>
        <v/>
      </c>
      <c r="T50" s="77" t="str">
        <f>IFERROR(VLOOKUP(A50,Calculations!$C$6:$AI$136,25,FALSE),"")</f>
        <v/>
      </c>
      <c r="U50" s="77" t="str">
        <f>IFERROR(VLOOKUP(A50,Calculations!$C$6:$AI$136,26,FALSE),"")</f>
        <v/>
      </c>
      <c r="V50" s="77" t="str">
        <f>IFERROR(VLOOKUP(A50,Calculations!$C$6:$AI$136,27,FALSE),"")</f>
        <v/>
      </c>
      <c r="W50" s="77" t="str">
        <f>IFERROR(VLOOKUP(A50,Calculations!$C$6:$AI$136,32,FALSE),"")</f>
        <v/>
      </c>
      <c r="X50" s="77" t="str">
        <f>IFERROR(VLOOKUP(A50,Calculations!$C$6:$AI$136,33,FALSE),"")</f>
        <v/>
      </c>
      <c r="Y50" s="58" t="str">
        <f>IFERROR(VLOOKUP(A50,Calculations!$C$6:$AI$136,28,FALSE),"")</f>
        <v/>
      </c>
      <c r="Z50" s="55" t="str">
        <f>IFERROR(VLOOKUP(A50,Calculations!$C$6:$AI$136,30,FALSE),"")</f>
        <v/>
      </c>
    </row>
    <row r="51" spans="1:26" ht="15" x14ac:dyDescent="0.3">
      <c r="A51" s="36">
        <v>49</v>
      </c>
      <c r="B51" s="35" t="str">
        <f>IFERROR(VLOOKUP(A51,Calculations!$C$6:$AI$136,4,FALSE),"")</f>
        <v/>
      </c>
      <c r="C51" s="75" t="str">
        <f>IFERROR(VLOOKUP(A51,Calculations!$C$6:$AI$136,5,FALSE),"")</f>
        <v/>
      </c>
      <c r="D51" s="75" t="str">
        <f>IFERROR(VLOOKUP(A51,Calculations!$C$6:$AI$136,6,FALSE),"")</f>
        <v/>
      </c>
      <c r="E51" s="75" t="str">
        <f>IFERROR(VLOOKUP(A51,Calculations!$C$6:$AI$136,9,FALSE),"")</f>
        <v/>
      </c>
      <c r="F51" s="75" t="str">
        <f>IFERROR(VLOOKUP(A51,Calculations!$C$6:$AI$136,10,FALSE),"")</f>
        <v/>
      </c>
      <c r="G51" s="76" t="str">
        <f>IFERROR(VLOOKUP(A51,Calculations!$C$6:$AI$136,12,FALSE),"")</f>
        <v/>
      </c>
      <c r="H51" s="76" t="str">
        <f>IFERROR(VLOOKUP(A51,Calculations!$C$6:$AI$136,13,FALSE),"")</f>
        <v/>
      </c>
      <c r="I51" s="76" t="str">
        <f>IFERROR(VLOOKUP(A51,Calculations!$C$6:$AI$136,14,FALSE),"")</f>
        <v/>
      </c>
      <c r="J51" s="76" t="str">
        <f>IFERROR(VLOOKUP(A51,Calculations!$C$6:$AI$136,15,FALSE),"")</f>
        <v/>
      </c>
      <c r="K51" s="76" t="str">
        <f>IFERROR(VLOOKUP(A51,Calculations!$C$6:$AI$136,16,FALSE),"")</f>
        <v/>
      </c>
      <c r="L51" s="76" t="str">
        <f>IFERROR(VLOOKUP(A51,Calculations!$C$6:$AI$136,17,FALSE),"")</f>
        <v/>
      </c>
      <c r="M51" s="76" t="str">
        <f>IFERROR(VLOOKUP(A51,Calculations!$C$6:$AI$136,18,FALSE),"")</f>
        <v/>
      </c>
      <c r="N51" s="76" t="str">
        <f>IFERROR(VLOOKUP(A51,Calculations!$C$6:$AI$136,19,FALSE),"")</f>
        <v/>
      </c>
      <c r="O51" s="77" t="str">
        <f>IFERROR(VLOOKUP(A51,Calculations!$C$6:$AI$136,20,FALSE),"")</f>
        <v/>
      </c>
      <c r="P51" s="77" t="str">
        <f>IFERROR(VLOOKUP(A51,Calculations!$C$6:$AI$136,21,FALSE),"")</f>
        <v/>
      </c>
      <c r="Q51" s="77" t="str">
        <f>IFERROR(VLOOKUP(A51,Calculations!$C$6:$AI$136,22,FALSE),"")</f>
        <v/>
      </c>
      <c r="R51" s="77" t="str">
        <f>IFERROR(VLOOKUP(A51,Calculations!$C$6:$AI$136,23,FALSE),"")</f>
        <v/>
      </c>
      <c r="S51" s="77" t="str">
        <f>IFERROR(VLOOKUP(A51,Calculations!$C$6:$AI$136,24,FALSE),"")</f>
        <v/>
      </c>
      <c r="T51" s="77" t="str">
        <f>IFERROR(VLOOKUP(A51,Calculations!$C$6:$AI$136,25,FALSE),"")</f>
        <v/>
      </c>
      <c r="U51" s="77" t="str">
        <f>IFERROR(VLOOKUP(A51,Calculations!$C$6:$AI$136,26,FALSE),"")</f>
        <v/>
      </c>
      <c r="V51" s="77" t="str">
        <f>IFERROR(VLOOKUP(A51,Calculations!$C$6:$AI$136,27,FALSE),"")</f>
        <v/>
      </c>
      <c r="W51" s="77" t="str">
        <f>IFERROR(VLOOKUP(A51,Calculations!$C$6:$AI$136,32,FALSE),"")</f>
        <v/>
      </c>
      <c r="X51" s="77" t="str">
        <f>IFERROR(VLOOKUP(A51,Calculations!$C$6:$AI$136,33,FALSE),"")</f>
        <v/>
      </c>
      <c r="Y51" s="58" t="str">
        <f>IFERROR(VLOOKUP(A51,Calculations!$C$6:$AI$136,28,FALSE),"")</f>
        <v/>
      </c>
      <c r="Z51" s="55" t="str">
        <f>IFERROR(VLOOKUP(A51,Calculations!$C$6:$AI$136,30,FALSE),"")</f>
        <v/>
      </c>
    </row>
    <row r="52" spans="1:26" ht="15" x14ac:dyDescent="0.3">
      <c r="A52" s="36">
        <v>50</v>
      </c>
      <c r="B52" s="35" t="str">
        <f>IFERROR(VLOOKUP(A52,Calculations!$C$6:$AI$136,4,FALSE),"")</f>
        <v/>
      </c>
      <c r="C52" s="75" t="str">
        <f>IFERROR(VLOOKUP(A52,Calculations!$C$6:$AI$136,5,FALSE),"")</f>
        <v/>
      </c>
      <c r="D52" s="75" t="str">
        <f>IFERROR(VLOOKUP(A52,Calculations!$C$6:$AI$136,6,FALSE),"")</f>
        <v/>
      </c>
      <c r="E52" s="75" t="str">
        <f>IFERROR(VLOOKUP(A52,Calculations!$C$6:$AI$136,9,FALSE),"")</f>
        <v/>
      </c>
      <c r="F52" s="75" t="str">
        <f>IFERROR(VLOOKUP(A52,Calculations!$C$6:$AI$136,10,FALSE),"")</f>
        <v/>
      </c>
      <c r="G52" s="76" t="str">
        <f>IFERROR(VLOOKUP(A52,Calculations!$C$6:$AI$136,12,FALSE),"")</f>
        <v/>
      </c>
      <c r="H52" s="76" t="str">
        <f>IFERROR(VLOOKUP(A52,Calculations!$C$6:$AI$136,13,FALSE),"")</f>
        <v/>
      </c>
      <c r="I52" s="76" t="str">
        <f>IFERROR(VLOOKUP(A52,Calculations!$C$6:$AI$136,14,FALSE),"")</f>
        <v/>
      </c>
      <c r="J52" s="76" t="str">
        <f>IFERROR(VLOOKUP(A52,Calculations!$C$6:$AI$136,15,FALSE),"")</f>
        <v/>
      </c>
      <c r="K52" s="76" t="str">
        <f>IFERROR(VLOOKUP(A52,Calculations!$C$6:$AI$136,16,FALSE),"")</f>
        <v/>
      </c>
      <c r="L52" s="76" t="str">
        <f>IFERROR(VLOOKUP(A52,Calculations!$C$6:$AI$136,17,FALSE),"")</f>
        <v/>
      </c>
      <c r="M52" s="76" t="str">
        <f>IFERROR(VLOOKUP(A52,Calculations!$C$6:$AI$136,18,FALSE),"")</f>
        <v/>
      </c>
      <c r="N52" s="76" t="str">
        <f>IFERROR(VLOOKUP(A52,Calculations!$C$6:$AI$136,19,FALSE),"")</f>
        <v/>
      </c>
      <c r="O52" s="77" t="str">
        <f>IFERROR(VLOOKUP(A52,Calculations!$C$6:$AI$136,20,FALSE),"")</f>
        <v/>
      </c>
      <c r="P52" s="77" t="str">
        <f>IFERROR(VLOOKUP(A52,Calculations!$C$6:$AI$136,21,FALSE),"")</f>
        <v/>
      </c>
      <c r="Q52" s="77" t="str">
        <f>IFERROR(VLOOKUP(A52,Calculations!$C$6:$AI$136,22,FALSE),"")</f>
        <v/>
      </c>
      <c r="R52" s="77" t="str">
        <f>IFERROR(VLOOKUP(A52,Calculations!$C$6:$AI$136,23,FALSE),"")</f>
        <v/>
      </c>
      <c r="S52" s="77" t="str">
        <f>IFERROR(VLOOKUP(A52,Calculations!$C$6:$AI$136,24,FALSE),"")</f>
        <v/>
      </c>
      <c r="T52" s="77" t="str">
        <f>IFERROR(VLOOKUP(A52,Calculations!$C$6:$AI$136,25,FALSE),"")</f>
        <v/>
      </c>
      <c r="U52" s="77" t="str">
        <f>IFERROR(VLOOKUP(A52,Calculations!$C$6:$AI$136,26,FALSE),"")</f>
        <v/>
      </c>
      <c r="V52" s="77" t="str">
        <f>IFERROR(VLOOKUP(A52,Calculations!$C$6:$AI$136,27,FALSE),"")</f>
        <v/>
      </c>
      <c r="W52" s="77" t="str">
        <f>IFERROR(VLOOKUP(A52,Calculations!$C$6:$AI$136,32,FALSE),"")</f>
        <v/>
      </c>
      <c r="X52" s="77" t="str">
        <f>IFERROR(VLOOKUP(A52,Calculations!$C$6:$AI$136,33,FALSE),"")</f>
        <v/>
      </c>
      <c r="Y52" s="58" t="str">
        <f>IFERROR(VLOOKUP(A52,Calculations!$C$6:$AI$136,28,FALSE),"")</f>
        <v/>
      </c>
      <c r="Z52" s="55" t="str">
        <f>IFERROR(VLOOKUP(A52,Calculations!$C$6:$AI$136,30,FALSE),"")</f>
        <v/>
      </c>
    </row>
    <row r="53" spans="1:26" ht="15" x14ac:dyDescent="0.3">
      <c r="A53" s="36">
        <v>51</v>
      </c>
      <c r="B53" s="35" t="str">
        <f>IFERROR(VLOOKUP(A53,Calculations!$C$6:$AI$136,4,FALSE),"")</f>
        <v/>
      </c>
      <c r="C53" s="75" t="str">
        <f>IFERROR(VLOOKUP(A53,Calculations!$C$6:$AI$136,5,FALSE),"")</f>
        <v/>
      </c>
      <c r="D53" s="75" t="str">
        <f>IFERROR(VLOOKUP(A53,Calculations!$C$6:$AI$136,6,FALSE),"")</f>
        <v/>
      </c>
      <c r="E53" s="75" t="str">
        <f>IFERROR(VLOOKUP(A53,Calculations!$C$6:$AI$136,9,FALSE),"")</f>
        <v/>
      </c>
      <c r="F53" s="75" t="str">
        <f>IFERROR(VLOOKUP(A53,Calculations!$C$6:$AI$136,10,FALSE),"")</f>
        <v/>
      </c>
      <c r="G53" s="76" t="str">
        <f>IFERROR(VLOOKUP(A53,Calculations!$C$6:$AI$136,12,FALSE),"")</f>
        <v/>
      </c>
      <c r="H53" s="76" t="str">
        <f>IFERROR(VLOOKUP(A53,Calculations!$C$6:$AI$136,13,FALSE),"")</f>
        <v/>
      </c>
      <c r="I53" s="76" t="str">
        <f>IFERROR(VLOOKUP(A53,Calculations!$C$6:$AI$136,14,FALSE),"")</f>
        <v/>
      </c>
      <c r="J53" s="76" t="str">
        <f>IFERROR(VLOOKUP(A53,Calculations!$C$6:$AI$136,15,FALSE),"")</f>
        <v/>
      </c>
      <c r="K53" s="76" t="str">
        <f>IFERROR(VLOOKUP(A53,Calculations!$C$6:$AI$136,16,FALSE),"")</f>
        <v/>
      </c>
      <c r="L53" s="76" t="str">
        <f>IFERROR(VLOOKUP(A53,Calculations!$C$6:$AI$136,17,FALSE),"")</f>
        <v/>
      </c>
      <c r="M53" s="76" t="str">
        <f>IFERROR(VLOOKUP(A53,Calculations!$C$6:$AI$136,18,FALSE),"")</f>
        <v/>
      </c>
      <c r="N53" s="76" t="str">
        <f>IFERROR(VLOOKUP(A53,Calculations!$C$6:$AI$136,19,FALSE),"")</f>
        <v/>
      </c>
      <c r="O53" s="77" t="str">
        <f>IFERROR(VLOOKUP(A53,Calculations!$C$6:$AI$136,20,FALSE),"")</f>
        <v/>
      </c>
      <c r="P53" s="77" t="str">
        <f>IFERROR(VLOOKUP(A53,Calculations!$C$6:$AI$136,21,FALSE),"")</f>
        <v/>
      </c>
      <c r="Q53" s="77" t="str">
        <f>IFERROR(VLOOKUP(A53,Calculations!$C$6:$AI$136,22,FALSE),"")</f>
        <v/>
      </c>
      <c r="R53" s="77" t="str">
        <f>IFERROR(VLOOKUP(A53,Calculations!$C$6:$AI$136,23,FALSE),"")</f>
        <v/>
      </c>
      <c r="S53" s="77" t="str">
        <f>IFERROR(VLOOKUP(A53,Calculations!$C$6:$AI$136,24,FALSE),"")</f>
        <v/>
      </c>
      <c r="T53" s="77" t="str">
        <f>IFERROR(VLOOKUP(A53,Calculations!$C$6:$AI$136,25,FALSE),"")</f>
        <v/>
      </c>
      <c r="U53" s="77" t="str">
        <f>IFERROR(VLOOKUP(A53,Calculations!$C$6:$AI$136,26,FALSE),"")</f>
        <v/>
      </c>
      <c r="V53" s="77" t="str">
        <f>IFERROR(VLOOKUP(A53,Calculations!$C$6:$AI$136,27,FALSE),"")</f>
        <v/>
      </c>
      <c r="W53" s="77" t="str">
        <f>IFERROR(VLOOKUP(A53,Calculations!$C$6:$AI$136,32,FALSE),"")</f>
        <v/>
      </c>
      <c r="X53" s="77" t="str">
        <f>IFERROR(VLOOKUP(A53,Calculations!$C$6:$AI$136,33,FALSE),"")</f>
        <v/>
      </c>
      <c r="Y53" s="58" t="str">
        <f>IFERROR(VLOOKUP(A53,Calculations!$C$6:$AI$136,28,FALSE),"")</f>
        <v/>
      </c>
      <c r="Z53" s="55" t="str">
        <f>IFERROR(VLOOKUP(A53,Calculations!$C$6:$AI$136,30,FALSE),"")</f>
        <v/>
      </c>
    </row>
    <row r="54" spans="1:26" ht="15" x14ac:dyDescent="0.3">
      <c r="A54" s="36">
        <v>52</v>
      </c>
      <c r="B54" s="35" t="str">
        <f>IFERROR(VLOOKUP(A54,Calculations!$C$6:$AI$136,4,FALSE),"")</f>
        <v/>
      </c>
      <c r="C54" s="75" t="str">
        <f>IFERROR(VLOOKUP(A54,Calculations!$C$6:$AI$136,5,FALSE),"")</f>
        <v/>
      </c>
      <c r="D54" s="75" t="str">
        <f>IFERROR(VLOOKUP(A54,Calculations!$C$6:$AI$136,6,FALSE),"")</f>
        <v/>
      </c>
      <c r="E54" s="75" t="str">
        <f>IFERROR(VLOOKUP(A54,Calculations!$C$6:$AI$136,9,FALSE),"")</f>
        <v/>
      </c>
      <c r="F54" s="75" t="str">
        <f>IFERROR(VLOOKUP(A54,Calculations!$C$6:$AI$136,10,FALSE),"")</f>
        <v/>
      </c>
      <c r="G54" s="76" t="str">
        <f>IFERROR(VLOOKUP(A54,Calculations!$C$6:$AI$136,12,FALSE),"")</f>
        <v/>
      </c>
      <c r="H54" s="76" t="str">
        <f>IFERROR(VLOOKUP(A54,Calculations!$C$6:$AI$136,13,FALSE),"")</f>
        <v/>
      </c>
      <c r="I54" s="76" t="str">
        <f>IFERROR(VLOOKUP(A54,Calculations!$C$6:$AI$136,14,FALSE),"")</f>
        <v/>
      </c>
      <c r="J54" s="76" t="str">
        <f>IFERROR(VLOOKUP(A54,Calculations!$C$6:$AI$136,15,FALSE),"")</f>
        <v/>
      </c>
      <c r="K54" s="76" t="str">
        <f>IFERROR(VLOOKUP(A54,Calculations!$C$6:$AI$136,16,FALSE),"")</f>
        <v/>
      </c>
      <c r="L54" s="76" t="str">
        <f>IFERROR(VLOOKUP(A54,Calculations!$C$6:$AI$136,17,FALSE),"")</f>
        <v/>
      </c>
      <c r="M54" s="76" t="str">
        <f>IFERROR(VLOOKUP(A54,Calculations!$C$6:$AI$136,18,FALSE),"")</f>
        <v/>
      </c>
      <c r="N54" s="76" t="str">
        <f>IFERROR(VLOOKUP(A54,Calculations!$C$6:$AI$136,19,FALSE),"")</f>
        <v/>
      </c>
      <c r="O54" s="77" t="str">
        <f>IFERROR(VLOOKUP(A54,Calculations!$C$6:$AI$136,20,FALSE),"")</f>
        <v/>
      </c>
      <c r="P54" s="77" t="str">
        <f>IFERROR(VLOOKUP(A54,Calculations!$C$6:$AI$136,21,FALSE),"")</f>
        <v/>
      </c>
      <c r="Q54" s="77" t="str">
        <f>IFERROR(VLOOKUP(A54,Calculations!$C$6:$AI$136,22,FALSE),"")</f>
        <v/>
      </c>
      <c r="R54" s="77" t="str">
        <f>IFERROR(VLOOKUP(A54,Calculations!$C$6:$AI$136,23,FALSE),"")</f>
        <v/>
      </c>
      <c r="S54" s="77" t="str">
        <f>IFERROR(VLOOKUP(A54,Calculations!$C$6:$AI$136,24,FALSE),"")</f>
        <v/>
      </c>
      <c r="T54" s="77" t="str">
        <f>IFERROR(VLOOKUP(A54,Calculations!$C$6:$AI$136,25,FALSE),"")</f>
        <v/>
      </c>
      <c r="U54" s="77" t="str">
        <f>IFERROR(VLOOKUP(A54,Calculations!$C$6:$AI$136,26,FALSE),"")</f>
        <v/>
      </c>
      <c r="V54" s="77" t="str">
        <f>IFERROR(VLOOKUP(A54,Calculations!$C$6:$AI$136,27,FALSE),"")</f>
        <v/>
      </c>
      <c r="W54" s="77" t="str">
        <f>IFERROR(VLOOKUP(A54,Calculations!$C$6:$AI$136,32,FALSE),"")</f>
        <v/>
      </c>
      <c r="X54" s="77" t="str">
        <f>IFERROR(VLOOKUP(A54,Calculations!$C$6:$AI$136,33,FALSE),"")</f>
        <v/>
      </c>
      <c r="Y54" s="58" t="str">
        <f>IFERROR(VLOOKUP(A54,Calculations!$C$6:$AI$136,28,FALSE),"")</f>
        <v/>
      </c>
      <c r="Z54" s="55" t="str">
        <f>IFERROR(VLOOKUP(A54,Calculations!$C$6:$AI$136,30,FALSE),"")</f>
        <v/>
      </c>
    </row>
    <row r="55" spans="1:26" ht="15" x14ac:dyDescent="0.3">
      <c r="A55" s="36">
        <v>53</v>
      </c>
      <c r="B55" s="35" t="str">
        <f>IFERROR(VLOOKUP(A55,Calculations!$C$6:$AI$136,4,FALSE),"")</f>
        <v/>
      </c>
      <c r="C55" s="75" t="str">
        <f>IFERROR(VLOOKUP(A55,Calculations!$C$6:$AI$136,5,FALSE),"")</f>
        <v/>
      </c>
      <c r="D55" s="75" t="str">
        <f>IFERROR(VLOOKUP(A55,Calculations!$C$6:$AI$136,6,FALSE),"")</f>
        <v/>
      </c>
      <c r="E55" s="75" t="str">
        <f>IFERROR(VLOOKUP(A55,Calculations!$C$6:$AI$136,9,FALSE),"")</f>
        <v/>
      </c>
      <c r="F55" s="75" t="str">
        <f>IFERROR(VLOOKUP(A55,Calculations!$C$6:$AI$136,10,FALSE),"")</f>
        <v/>
      </c>
      <c r="G55" s="76" t="str">
        <f>IFERROR(VLOOKUP(A55,Calculations!$C$6:$AI$136,12,FALSE),"")</f>
        <v/>
      </c>
      <c r="H55" s="76" t="str">
        <f>IFERROR(VLOOKUP(A55,Calculations!$C$6:$AI$136,13,FALSE),"")</f>
        <v/>
      </c>
      <c r="I55" s="76" t="str">
        <f>IFERROR(VLOOKUP(A55,Calculations!$C$6:$AI$136,14,FALSE),"")</f>
        <v/>
      </c>
      <c r="J55" s="76" t="str">
        <f>IFERROR(VLOOKUP(A55,Calculations!$C$6:$AI$136,15,FALSE),"")</f>
        <v/>
      </c>
      <c r="K55" s="76" t="str">
        <f>IFERROR(VLOOKUP(A55,Calculations!$C$6:$AI$136,16,FALSE),"")</f>
        <v/>
      </c>
      <c r="L55" s="76" t="str">
        <f>IFERROR(VLOOKUP(A55,Calculations!$C$6:$AI$136,17,FALSE),"")</f>
        <v/>
      </c>
      <c r="M55" s="76" t="str">
        <f>IFERROR(VLOOKUP(A55,Calculations!$C$6:$AI$136,18,FALSE),"")</f>
        <v/>
      </c>
      <c r="N55" s="76" t="str">
        <f>IFERROR(VLOOKUP(A55,Calculations!$C$6:$AI$136,19,FALSE),"")</f>
        <v/>
      </c>
      <c r="O55" s="77" t="str">
        <f>IFERROR(VLOOKUP(A55,Calculations!$C$6:$AI$136,20,FALSE),"")</f>
        <v/>
      </c>
      <c r="P55" s="77" t="str">
        <f>IFERROR(VLOOKUP(A55,Calculations!$C$6:$AI$136,21,FALSE),"")</f>
        <v/>
      </c>
      <c r="Q55" s="77" t="str">
        <f>IFERROR(VLOOKUP(A55,Calculations!$C$6:$AI$136,22,FALSE),"")</f>
        <v/>
      </c>
      <c r="R55" s="77" t="str">
        <f>IFERROR(VLOOKUP(A55,Calculations!$C$6:$AI$136,23,FALSE),"")</f>
        <v/>
      </c>
      <c r="S55" s="77" t="str">
        <f>IFERROR(VLOOKUP(A55,Calculations!$C$6:$AI$136,24,FALSE),"")</f>
        <v/>
      </c>
      <c r="T55" s="77" t="str">
        <f>IFERROR(VLOOKUP(A55,Calculations!$C$6:$AI$136,25,FALSE),"")</f>
        <v/>
      </c>
      <c r="U55" s="77" t="str">
        <f>IFERROR(VLOOKUP(A55,Calculations!$C$6:$AI$136,26,FALSE),"")</f>
        <v/>
      </c>
      <c r="V55" s="77" t="str">
        <f>IFERROR(VLOOKUP(A55,Calculations!$C$6:$AI$136,27,FALSE),"")</f>
        <v/>
      </c>
      <c r="W55" s="77" t="str">
        <f>IFERROR(VLOOKUP(A55,Calculations!$C$6:$AI$136,32,FALSE),"")</f>
        <v/>
      </c>
      <c r="X55" s="77" t="str">
        <f>IFERROR(VLOOKUP(A55,Calculations!$C$6:$AI$136,33,FALSE),"")</f>
        <v/>
      </c>
      <c r="Y55" s="58" t="str">
        <f>IFERROR(VLOOKUP(A55,Calculations!$C$6:$AI$136,28,FALSE),"")</f>
        <v/>
      </c>
      <c r="Z55" s="55" t="str">
        <f>IFERROR(VLOOKUP(A55,Calculations!$C$6:$AI$136,30,FALSE),"")</f>
        <v/>
      </c>
    </row>
    <row r="56" spans="1:26" ht="15" x14ac:dyDescent="0.3">
      <c r="A56" s="36">
        <v>54</v>
      </c>
      <c r="B56" s="35" t="str">
        <f>IFERROR(VLOOKUP(A56,Calculations!$C$6:$AI$136,4,FALSE),"")</f>
        <v/>
      </c>
      <c r="C56" s="75" t="str">
        <f>IFERROR(VLOOKUP(A56,Calculations!$C$6:$AI$136,5,FALSE),"")</f>
        <v/>
      </c>
      <c r="D56" s="75" t="str">
        <f>IFERROR(VLOOKUP(A56,Calculations!$C$6:$AI$136,6,FALSE),"")</f>
        <v/>
      </c>
      <c r="E56" s="75" t="str">
        <f>IFERROR(VLOOKUP(A56,Calculations!$C$6:$AI$136,9,FALSE),"")</f>
        <v/>
      </c>
      <c r="F56" s="75" t="str">
        <f>IFERROR(VLOOKUP(A56,Calculations!$C$6:$AI$136,10,FALSE),"")</f>
        <v/>
      </c>
      <c r="G56" s="76" t="str">
        <f>IFERROR(VLOOKUP(A56,Calculations!$C$6:$AI$136,12,FALSE),"")</f>
        <v/>
      </c>
      <c r="H56" s="76" t="str">
        <f>IFERROR(VLOOKUP(A56,Calculations!$C$6:$AI$136,13,FALSE),"")</f>
        <v/>
      </c>
      <c r="I56" s="76" t="str">
        <f>IFERROR(VLOOKUP(A56,Calculations!$C$6:$AI$136,14,FALSE),"")</f>
        <v/>
      </c>
      <c r="J56" s="76" t="str">
        <f>IFERROR(VLOOKUP(A56,Calculations!$C$6:$AI$136,15,FALSE),"")</f>
        <v/>
      </c>
      <c r="K56" s="76" t="str">
        <f>IFERROR(VLOOKUP(A56,Calculations!$C$6:$AI$136,16,FALSE),"")</f>
        <v/>
      </c>
      <c r="L56" s="76" t="str">
        <f>IFERROR(VLOOKUP(A56,Calculations!$C$6:$AI$136,17,FALSE),"")</f>
        <v/>
      </c>
      <c r="M56" s="76" t="str">
        <f>IFERROR(VLOOKUP(A56,Calculations!$C$6:$AI$136,18,FALSE),"")</f>
        <v/>
      </c>
      <c r="N56" s="76" t="str">
        <f>IFERROR(VLOOKUP(A56,Calculations!$C$6:$AI$136,19,FALSE),"")</f>
        <v/>
      </c>
      <c r="O56" s="77" t="str">
        <f>IFERROR(VLOOKUP(A56,Calculations!$C$6:$AI$136,20,FALSE),"")</f>
        <v/>
      </c>
      <c r="P56" s="77" t="str">
        <f>IFERROR(VLOOKUP(A56,Calculations!$C$6:$AI$136,21,FALSE),"")</f>
        <v/>
      </c>
      <c r="Q56" s="77" t="str">
        <f>IFERROR(VLOOKUP(A56,Calculations!$C$6:$AI$136,22,FALSE),"")</f>
        <v/>
      </c>
      <c r="R56" s="77" t="str">
        <f>IFERROR(VLOOKUP(A56,Calculations!$C$6:$AI$136,23,FALSE),"")</f>
        <v/>
      </c>
      <c r="S56" s="77" t="str">
        <f>IFERROR(VLOOKUP(A56,Calculations!$C$6:$AI$136,24,FALSE),"")</f>
        <v/>
      </c>
      <c r="T56" s="77" t="str">
        <f>IFERROR(VLOOKUP(A56,Calculations!$C$6:$AI$136,25,FALSE),"")</f>
        <v/>
      </c>
      <c r="U56" s="77" t="str">
        <f>IFERROR(VLOOKUP(A56,Calculations!$C$6:$AI$136,26,FALSE),"")</f>
        <v/>
      </c>
      <c r="V56" s="77" t="str">
        <f>IFERROR(VLOOKUP(A56,Calculations!$C$6:$AI$136,27,FALSE),"")</f>
        <v/>
      </c>
      <c r="W56" s="77" t="str">
        <f>IFERROR(VLOOKUP(A56,Calculations!$C$6:$AI$136,32,FALSE),"")</f>
        <v/>
      </c>
      <c r="X56" s="77" t="str">
        <f>IFERROR(VLOOKUP(A56,Calculations!$C$6:$AI$136,33,FALSE),"")</f>
        <v/>
      </c>
      <c r="Y56" s="58" t="str">
        <f>IFERROR(VLOOKUP(A56,Calculations!$C$6:$AI$136,28,FALSE),"")</f>
        <v/>
      </c>
      <c r="Z56" s="55" t="str">
        <f>IFERROR(VLOOKUP(A56,Calculations!$C$6:$AI$136,30,FALSE),"")</f>
        <v/>
      </c>
    </row>
    <row r="57" spans="1:26" ht="15" x14ac:dyDescent="0.3">
      <c r="A57" s="36">
        <v>55</v>
      </c>
      <c r="B57" s="35" t="str">
        <f>IFERROR(VLOOKUP(A57,Calculations!$C$6:$AI$136,4,FALSE),"")</f>
        <v/>
      </c>
      <c r="C57" s="75" t="str">
        <f>IFERROR(VLOOKUP(A57,Calculations!$C$6:$AI$136,5,FALSE),"")</f>
        <v/>
      </c>
      <c r="D57" s="75" t="str">
        <f>IFERROR(VLOOKUP(A57,Calculations!$C$6:$AI$136,6,FALSE),"")</f>
        <v/>
      </c>
      <c r="E57" s="75" t="str">
        <f>IFERROR(VLOOKUP(A57,Calculations!$C$6:$AI$136,9,FALSE),"")</f>
        <v/>
      </c>
      <c r="F57" s="75" t="str">
        <f>IFERROR(VLOOKUP(A57,Calculations!$C$6:$AI$136,10,FALSE),"")</f>
        <v/>
      </c>
      <c r="G57" s="76" t="str">
        <f>IFERROR(VLOOKUP(A57,Calculations!$C$6:$AI$136,12,FALSE),"")</f>
        <v/>
      </c>
      <c r="H57" s="76" t="str">
        <f>IFERROR(VLOOKUP(A57,Calculations!$C$6:$AI$136,13,FALSE),"")</f>
        <v/>
      </c>
      <c r="I57" s="76" t="str">
        <f>IFERROR(VLOOKUP(A57,Calculations!$C$6:$AI$136,14,FALSE),"")</f>
        <v/>
      </c>
      <c r="J57" s="76" t="str">
        <f>IFERROR(VLOOKUP(A57,Calculations!$C$6:$AI$136,15,FALSE),"")</f>
        <v/>
      </c>
      <c r="K57" s="76" t="str">
        <f>IFERROR(VLOOKUP(A57,Calculations!$C$6:$AI$136,16,FALSE),"")</f>
        <v/>
      </c>
      <c r="L57" s="76" t="str">
        <f>IFERROR(VLOOKUP(A57,Calculations!$C$6:$AI$136,17,FALSE),"")</f>
        <v/>
      </c>
      <c r="M57" s="76" t="str">
        <f>IFERROR(VLOOKUP(A57,Calculations!$C$6:$AI$136,18,FALSE),"")</f>
        <v/>
      </c>
      <c r="N57" s="76" t="str">
        <f>IFERROR(VLOOKUP(A57,Calculations!$C$6:$AI$136,19,FALSE),"")</f>
        <v/>
      </c>
      <c r="O57" s="77" t="str">
        <f>IFERROR(VLOOKUP(A57,Calculations!$C$6:$AI$136,20,FALSE),"")</f>
        <v/>
      </c>
      <c r="P57" s="77" t="str">
        <f>IFERROR(VLOOKUP(A57,Calculations!$C$6:$AI$136,21,FALSE),"")</f>
        <v/>
      </c>
      <c r="Q57" s="77" t="str">
        <f>IFERROR(VLOOKUP(A57,Calculations!$C$6:$AI$136,22,FALSE),"")</f>
        <v/>
      </c>
      <c r="R57" s="77" t="str">
        <f>IFERROR(VLOOKUP(A57,Calculations!$C$6:$AI$136,23,FALSE),"")</f>
        <v/>
      </c>
      <c r="S57" s="77" t="str">
        <f>IFERROR(VLOOKUP(A57,Calculations!$C$6:$AI$136,24,FALSE),"")</f>
        <v/>
      </c>
      <c r="T57" s="77" t="str">
        <f>IFERROR(VLOOKUP(A57,Calculations!$C$6:$AI$136,25,FALSE),"")</f>
        <v/>
      </c>
      <c r="U57" s="77" t="str">
        <f>IFERROR(VLOOKUP(A57,Calculations!$C$6:$AI$136,26,FALSE),"")</f>
        <v/>
      </c>
      <c r="V57" s="77" t="str">
        <f>IFERROR(VLOOKUP(A57,Calculations!$C$6:$AI$136,27,FALSE),"")</f>
        <v/>
      </c>
      <c r="W57" s="77" t="str">
        <f>IFERROR(VLOOKUP(A57,Calculations!$C$6:$AI$136,32,FALSE),"")</f>
        <v/>
      </c>
      <c r="X57" s="77" t="str">
        <f>IFERROR(VLOOKUP(A57,Calculations!$C$6:$AI$136,33,FALSE),"")</f>
        <v/>
      </c>
      <c r="Y57" s="58" t="str">
        <f>IFERROR(VLOOKUP(A57,Calculations!$C$6:$AI$136,28,FALSE),"")</f>
        <v/>
      </c>
      <c r="Z57" s="55" t="str">
        <f>IFERROR(VLOOKUP(A57,Calculations!$C$6:$AI$136,30,FALSE),"")</f>
        <v/>
      </c>
    </row>
    <row r="58" spans="1:26" ht="15" x14ac:dyDescent="0.3">
      <c r="A58" s="36">
        <v>56</v>
      </c>
      <c r="B58" s="35" t="str">
        <f>IFERROR(VLOOKUP(A58,Calculations!$C$6:$AI$136,4,FALSE),"")</f>
        <v/>
      </c>
      <c r="C58" s="75" t="str">
        <f>IFERROR(VLOOKUP(A58,Calculations!$C$6:$AI$136,5,FALSE),"")</f>
        <v/>
      </c>
      <c r="D58" s="75" t="str">
        <f>IFERROR(VLOOKUP(A58,Calculations!$C$6:$AI$136,6,FALSE),"")</f>
        <v/>
      </c>
      <c r="E58" s="75" t="str">
        <f>IFERROR(VLOOKUP(A58,Calculations!$C$6:$AI$136,9,FALSE),"")</f>
        <v/>
      </c>
      <c r="F58" s="75" t="str">
        <f>IFERROR(VLOOKUP(A58,Calculations!$C$6:$AI$136,10,FALSE),"")</f>
        <v/>
      </c>
      <c r="G58" s="76" t="str">
        <f>IFERROR(VLOOKUP(A58,Calculations!$C$6:$AI$136,12,FALSE),"")</f>
        <v/>
      </c>
      <c r="H58" s="76" t="str">
        <f>IFERROR(VLOOKUP(A58,Calculations!$C$6:$AI$136,13,FALSE),"")</f>
        <v/>
      </c>
      <c r="I58" s="76" t="str">
        <f>IFERROR(VLOOKUP(A58,Calculations!$C$6:$AI$136,14,FALSE),"")</f>
        <v/>
      </c>
      <c r="J58" s="76" t="str">
        <f>IFERROR(VLOOKUP(A58,Calculations!$C$6:$AI$136,15,FALSE),"")</f>
        <v/>
      </c>
      <c r="K58" s="76" t="str">
        <f>IFERROR(VLOOKUP(A58,Calculations!$C$6:$AI$136,16,FALSE),"")</f>
        <v/>
      </c>
      <c r="L58" s="76" t="str">
        <f>IFERROR(VLOOKUP(A58,Calculations!$C$6:$AI$136,17,FALSE),"")</f>
        <v/>
      </c>
      <c r="M58" s="76" t="str">
        <f>IFERROR(VLOOKUP(A58,Calculations!$C$6:$AI$136,18,FALSE),"")</f>
        <v/>
      </c>
      <c r="N58" s="76" t="str">
        <f>IFERROR(VLOOKUP(A58,Calculations!$C$6:$AI$136,19,FALSE),"")</f>
        <v/>
      </c>
      <c r="O58" s="77" t="str">
        <f>IFERROR(VLOOKUP(A58,Calculations!$C$6:$AI$136,20,FALSE),"")</f>
        <v/>
      </c>
      <c r="P58" s="77" t="str">
        <f>IFERROR(VLOOKUP(A58,Calculations!$C$6:$AI$136,21,FALSE),"")</f>
        <v/>
      </c>
      <c r="Q58" s="77" t="str">
        <f>IFERROR(VLOOKUP(A58,Calculations!$C$6:$AI$136,22,FALSE),"")</f>
        <v/>
      </c>
      <c r="R58" s="77" t="str">
        <f>IFERROR(VLOOKUP(A58,Calculations!$C$6:$AI$136,23,FALSE),"")</f>
        <v/>
      </c>
      <c r="S58" s="77" t="str">
        <f>IFERROR(VLOOKUP(A58,Calculations!$C$6:$AI$136,24,FALSE),"")</f>
        <v/>
      </c>
      <c r="T58" s="77" t="str">
        <f>IFERROR(VLOOKUP(A58,Calculations!$C$6:$AI$136,25,FALSE),"")</f>
        <v/>
      </c>
      <c r="U58" s="77" t="str">
        <f>IFERROR(VLOOKUP(A58,Calculations!$C$6:$AI$136,26,FALSE),"")</f>
        <v/>
      </c>
      <c r="V58" s="77" t="str">
        <f>IFERROR(VLOOKUP(A58,Calculations!$C$6:$AI$136,27,FALSE),"")</f>
        <v/>
      </c>
      <c r="W58" s="77" t="str">
        <f>IFERROR(VLOOKUP(A58,Calculations!$C$6:$AI$136,32,FALSE),"")</f>
        <v/>
      </c>
      <c r="X58" s="77" t="str">
        <f>IFERROR(VLOOKUP(A58,Calculations!$C$6:$AI$136,33,FALSE),"")</f>
        <v/>
      </c>
      <c r="Y58" s="58" t="str">
        <f>IFERROR(VLOOKUP(A58,Calculations!$C$6:$AI$136,28,FALSE),"")</f>
        <v/>
      </c>
      <c r="Z58" s="55" t="str">
        <f>IFERROR(VLOOKUP(A58,Calculations!$C$6:$AI$136,30,FALSE),"")</f>
        <v/>
      </c>
    </row>
    <row r="59" spans="1:26" ht="15" x14ac:dyDescent="0.3">
      <c r="A59" s="36">
        <v>57</v>
      </c>
      <c r="B59" s="35" t="str">
        <f>IFERROR(VLOOKUP(A59,Calculations!$C$6:$AI$136,4,FALSE),"")</f>
        <v/>
      </c>
      <c r="C59" s="75" t="str">
        <f>IFERROR(VLOOKUP(A59,Calculations!$C$6:$AI$136,5,FALSE),"")</f>
        <v/>
      </c>
      <c r="D59" s="75" t="str">
        <f>IFERROR(VLOOKUP(A59,Calculations!$C$6:$AI$136,6,FALSE),"")</f>
        <v/>
      </c>
      <c r="E59" s="75" t="str">
        <f>IFERROR(VLOOKUP(A59,Calculations!$C$6:$AI$136,9,FALSE),"")</f>
        <v/>
      </c>
      <c r="F59" s="75" t="str">
        <f>IFERROR(VLOOKUP(A59,Calculations!$C$6:$AI$136,10,FALSE),"")</f>
        <v/>
      </c>
      <c r="G59" s="76" t="str">
        <f>IFERROR(VLOOKUP(A59,Calculations!$C$6:$AI$136,12,FALSE),"")</f>
        <v/>
      </c>
      <c r="H59" s="76" t="str">
        <f>IFERROR(VLOOKUP(A59,Calculations!$C$6:$AI$136,13,FALSE),"")</f>
        <v/>
      </c>
      <c r="I59" s="76" t="str">
        <f>IFERROR(VLOOKUP(A59,Calculations!$C$6:$AI$136,14,FALSE),"")</f>
        <v/>
      </c>
      <c r="J59" s="76" t="str">
        <f>IFERROR(VLOOKUP(A59,Calculations!$C$6:$AI$136,15,FALSE),"")</f>
        <v/>
      </c>
      <c r="K59" s="76" t="str">
        <f>IFERROR(VLOOKUP(A59,Calculations!$C$6:$AI$136,16,FALSE),"")</f>
        <v/>
      </c>
      <c r="L59" s="76" t="str">
        <f>IFERROR(VLOOKUP(A59,Calculations!$C$6:$AI$136,17,FALSE),"")</f>
        <v/>
      </c>
      <c r="M59" s="76" t="str">
        <f>IFERROR(VLOOKUP(A59,Calculations!$C$6:$AI$136,18,FALSE),"")</f>
        <v/>
      </c>
      <c r="N59" s="76" t="str">
        <f>IFERROR(VLOOKUP(A59,Calculations!$C$6:$AI$136,19,FALSE),"")</f>
        <v/>
      </c>
      <c r="O59" s="77" t="str">
        <f>IFERROR(VLOOKUP(A59,Calculations!$C$6:$AI$136,20,FALSE),"")</f>
        <v/>
      </c>
      <c r="P59" s="77" t="str">
        <f>IFERROR(VLOOKUP(A59,Calculations!$C$6:$AI$136,21,FALSE),"")</f>
        <v/>
      </c>
      <c r="Q59" s="77" t="str">
        <f>IFERROR(VLOOKUP(A59,Calculations!$C$6:$AI$136,22,FALSE),"")</f>
        <v/>
      </c>
      <c r="R59" s="77" t="str">
        <f>IFERROR(VLOOKUP(A59,Calculations!$C$6:$AI$136,23,FALSE),"")</f>
        <v/>
      </c>
      <c r="S59" s="77" t="str">
        <f>IFERROR(VLOOKUP(A59,Calculations!$C$6:$AI$136,24,FALSE),"")</f>
        <v/>
      </c>
      <c r="T59" s="77" t="str">
        <f>IFERROR(VLOOKUP(A59,Calculations!$C$6:$AI$136,25,FALSE),"")</f>
        <v/>
      </c>
      <c r="U59" s="77" t="str">
        <f>IFERROR(VLOOKUP(A59,Calculations!$C$6:$AI$136,26,FALSE),"")</f>
        <v/>
      </c>
      <c r="V59" s="77" t="str">
        <f>IFERROR(VLOOKUP(A59,Calculations!$C$6:$AI$136,27,FALSE),"")</f>
        <v/>
      </c>
      <c r="W59" s="77" t="str">
        <f>IFERROR(VLOOKUP(A59,Calculations!$C$6:$AI$136,32,FALSE),"")</f>
        <v/>
      </c>
      <c r="X59" s="77" t="str">
        <f>IFERROR(VLOOKUP(A59,Calculations!$C$6:$AI$136,33,FALSE),"")</f>
        <v/>
      </c>
      <c r="Y59" s="58" t="str">
        <f>IFERROR(VLOOKUP(A59,Calculations!$C$6:$AI$136,28,FALSE),"")</f>
        <v/>
      </c>
      <c r="Z59" s="55" t="str">
        <f>IFERROR(VLOOKUP(A59,Calculations!$C$6:$AI$136,30,FALSE),"")</f>
        <v/>
      </c>
    </row>
    <row r="60" spans="1:26" ht="15" x14ac:dyDescent="0.3">
      <c r="A60" s="36">
        <v>58</v>
      </c>
      <c r="B60" s="35" t="str">
        <f>IFERROR(VLOOKUP(A60,Calculations!$C$6:$AI$136,4,FALSE),"")</f>
        <v/>
      </c>
      <c r="C60" s="75" t="str">
        <f>IFERROR(VLOOKUP(A60,Calculations!$C$6:$AI$136,5,FALSE),"")</f>
        <v/>
      </c>
      <c r="D60" s="75" t="str">
        <f>IFERROR(VLOOKUP(A60,Calculations!$C$6:$AI$136,6,FALSE),"")</f>
        <v/>
      </c>
      <c r="E60" s="75" t="str">
        <f>IFERROR(VLOOKUP(A60,Calculations!$C$6:$AI$136,9,FALSE),"")</f>
        <v/>
      </c>
      <c r="F60" s="75" t="str">
        <f>IFERROR(VLOOKUP(A60,Calculations!$C$6:$AI$136,10,FALSE),"")</f>
        <v/>
      </c>
      <c r="G60" s="76" t="str">
        <f>IFERROR(VLOOKUP(A60,Calculations!$C$6:$AI$136,12,FALSE),"")</f>
        <v/>
      </c>
      <c r="H60" s="76" t="str">
        <f>IFERROR(VLOOKUP(A60,Calculations!$C$6:$AI$136,13,FALSE),"")</f>
        <v/>
      </c>
      <c r="I60" s="76" t="str">
        <f>IFERROR(VLOOKUP(A60,Calculations!$C$6:$AI$136,14,FALSE),"")</f>
        <v/>
      </c>
      <c r="J60" s="76" t="str">
        <f>IFERROR(VLOOKUP(A60,Calculations!$C$6:$AI$136,15,FALSE),"")</f>
        <v/>
      </c>
      <c r="K60" s="76" t="str">
        <f>IFERROR(VLOOKUP(A60,Calculations!$C$6:$AI$136,16,FALSE),"")</f>
        <v/>
      </c>
      <c r="L60" s="76" t="str">
        <f>IFERROR(VLOOKUP(A60,Calculations!$C$6:$AI$136,17,FALSE),"")</f>
        <v/>
      </c>
      <c r="M60" s="76" t="str">
        <f>IFERROR(VLOOKUP(A60,Calculations!$C$6:$AI$136,18,FALSE),"")</f>
        <v/>
      </c>
      <c r="N60" s="76" t="str">
        <f>IFERROR(VLOOKUP(A60,Calculations!$C$6:$AI$136,19,FALSE),"")</f>
        <v/>
      </c>
      <c r="O60" s="77" t="str">
        <f>IFERROR(VLOOKUP(A60,Calculations!$C$6:$AI$136,20,FALSE),"")</f>
        <v/>
      </c>
      <c r="P60" s="77" t="str">
        <f>IFERROR(VLOOKUP(A60,Calculations!$C$6:$AI$136,21,FALSE),"")</f>
        <v/>
      </c>
      <c r="Q60" s="77" t="str">
        <f>IFERROR(VLOOKUP(A60,Calculations!$C$6:$AI$136,22,FALSE),"")</f>
        <v/>
      </c>
      <c r="R60" s="77" t="str">
        <f>IFERROR(VLOOKUP(A60,Calculations!$C$6:$AI$136,23,FALSE),"")</f>
        <v/>
      </c>
      <c r="S60" s="77" t="str">
        <f>IFERROR(VLOOKUP(A60,Calculations!$C$6:$AI$136,24,FALSE),"")</f>
        <v/>
      </c>
      <c r="T60" s="77" t="str">
        <f>IFERROR(VLOOKUP(A60,Calculations!$C$6:$AI$136,25,FALSE),"")</f>
        <v/>
      </c>
      <c r="U60" s="77" t="str">
        <f>IFERROR(VLOOKUP(A60,Calculations!$C$6:$AI$136,26,FALSE),"")</f>
        <v/>
      </c>
      <c r="V60" s="77" t="str">
        <f>IFERROR(VLOOKUP(A60,Calculations!$C$6:$AI$136,27,FALSE),"")</f>
        <v/>
      </c>
      <c r="W60" s="77" t="str">
        <f>IFERROR(VLOOKUP(A60,Calculations!$C$6:$AI$136,32,FALSE),"")</f>
        <v/>
      </c>
      <c r="X60" s="77" t="str">
        <f>IFERROR(VLOOKUP(A60,Calculations!$C$6:$AI$136,33,FALSE),"")</f>
        <v/>
      </c>
      <c r="Y60" s="58" t="str">
        <f>IFERROR(VLOOKUP(A60,Calculations!$C$6:$AI$136,28,FALSE),"")</f>
        <v/>
      </c>
      <c r="Z60" s="55" t="str">
        <f>IFERROR(VLOOKUP(A60,Calculations!$C$6:$AI$136,30,FALSE),"")</f>
        <v/>
      </c>
    </row>
    <row r="61" spans="1:26" ht="15" x14ac:dyDescent="0.3">
      <c r="A61" s="36">
        <v>59</v>
      </c>
      <c r="B61" s="35" t="str">
        <f>IFERROR(VLOOKUP(A61,Calculations!$C$6:$AI$136,4,FALSE),"")</f>
        <v/>
      </c>
      <c r="C61" s="75" t="str">
        <f>IFERROR(VLOOKUP(A61,Calculations!$C$6:$AI$136,5,FALSE),"")</f>
        <v/>
      </c>
      <c r="D61" s="75" t="str">
        <f>IFERROR(VLOOKUP(A61,Calculations!$C$6:$AI$136,6,FALSE),"")</f>
        <v/>
      </c>
      <c r="E61" s="75" t="str">
        <f>IFERROR(VLOOKUP(A61,Calculations!$C$6:$AI$136,9,FALSE),"")</f>
        <v/>
      </c>
      <c r="F61" s="75" t="str">
        <f>IFERROR(VLOOKUP(A61,Calculations!$C$6:$AI$136,10,FALSE),"")</f>
        <v/>
      </c>
      <c r="G61" s="76" t="str">
        <f>IFERROR(VLOOKUP(A61,Calculations!$C$6:$AI$136,12,FALSE),"")</f>
        <v/>
      </c>
      <c r="H61" s="76" t="str">
        <f>IFERROR(VLOOKUP(A61,Calculations!$C$6:$AI$136,13,FALSE),"")</f>
        <v/>
      </c>
      <c r="I61" s="76" t="str">
        <f>IFERROR(VLOOKUP(A61,Calculations!$C$6:$AI$136,14,FALSE),"")</f>
        <v/>
      </c>
      <c r="J61" s="76" t="str">
        <f>IFERROR(VLOOKUP(A61,Calculations!$C$6:$AI$136,15,FALSE),"")</f>
        <v/>
      </c>
      <c r="K61" s="76" t="str">
        <f>IFERROR(VLOOKUP(A61,Calculations!$C$6:$AI$136,16,FALSE),"")</f>
        <v/>
      </c>
      <c r="L61" s="76" t="str">
        <f>IFERROR(VLOOKUP(A61,Calculations!$C$6:$AI$136,17,FALSE),"")</f>
        <v/>
      </c>
      <c r="M61" s="76" t="str">
        <f>IFERROR(VLOOKUP(A61,Calculations!$C$6:$AI$136,18,FALSE),"")</f>
        <v/>
      </c>
      <c r="N61" s="76" t="str">
        <f>IFERROR(VLOOKUP(A61,Calculations!$C$6:$AI$136,19,FALSE),"")</f>
        <v/>
      </c>
      <c r="O61" s="77" t="str">
        <f>IFERROR(VLOOKUP(A61,Calculations!$C$6:$AI$136,20,FALSE),"")</f>
        <v/>
      </c>
      <c r="P61" s="77" t="str">
        <f>IFERROR(VLOOKUP(A61,Calculations!$C$6:$AI$136,21,FALSE),"")</f>
        <v/>
      </c>
      <c r="Q61" s="77" t="str">
        <f>IFERROR(VLOOKUP(A61,Calculations!$C$6:$AI$136,22,FALSE),"")</f>
        <v/>
      </c>
      <c r="R61" s="77" t="str">
        <f>IFERROR(VLOOKUP(A61,Calculations!$C$6:$AI$136,23,FALSE),"")</f>
        <v/>
      </c>
      <c r="S61" s="77" t="str">
        <f>IFERROR(VLOOKUP(A61,Calculations!$C$6:$AI$136,24,FALSE),"")</f>
        <v/>
      </c>
      <c r="T61" s="77" t="str">
        <f>IFERROR(VLOOKUP(A61,Calculations!$C$6:$AI$136,25,FALSE),"")</f>
        <v/>
      </c>
      <c r="U61" s="77" t="str">
        <f>IFERROR(VLOOKUP(A61,Calculations!$C$6:$AI$136,26,FALSE),"")</f>
        <v/>
      </c>
      <c r="V61" s="77" t="str">
        <f>IFERROR(VLOOKUP(A61,Calculations!$C$6:$AI$136,27,FALSE),"")</f>
        <v/>
      </c>
      <c r="W61" s="77" t="str">
        <f>IFERROR(VLOOKUP(A61,Calculations!$C$6:$AI$136,32,FALSE),"")</f>
        <v/>
      </c>
      <c r="X61" s="77" t="str">
        <f>IFERROR(VLOOKUP(A61,Calculations!$C$6:$AI$136,33,FALSE),"")</f>
        <v/>
      </c>
      <c r="Y61" s="58" t="str">
        <f>IFERROR(VLOOKUP(A61,Calculations!$C$6:$AI$136,28,FALSE),"")</f>
        <v/>
      </c>
      <c r="Z61" s="55" t="str">
        <f>IFERROR(VLOOKUP(A61,Calculations!$C$6:$AI$136,30,FALSE),"")</f>
        <v/>
      </c>
    </row>
    <row r="62" spans="1:26" ht="15" x14ac:dyDescent="0.3">
      <c r="A62" s="36">
        <v>60</v>
      </c>
      <c r="B62" s="35" t="str">
        <f>IFERROR(VLOOKUP(A62,Calculations!$C$6:$AI$136,4,FALSE),"")</f>
        <v/>
      </c>
      <c r="C62" s="75" t="str">
        <f>IFERROR(VLOOKUP(A62,Calculations!$C$6:$AI$136,5,FALSE),"")</f>
        <v/>
      </c>
      <c r="D62" s="75" t="str">
        <f>IFERROR(VLOOKUP(A62,Calculations!$C$6:$AI$136,6,FALSE),"")</f>
        <v/>
      </c>
      <c r="E62" s="75" t="str">
        <f>IFERROR(VLOOKUP(A62,Calculations!$C$6:$AI$136,9,FALSE),"")</f>
        <v/>
      </c>
      <c r="F62" s="75" t="str">
        <f>IFERROR(VLOOKUP(A62,Calculations!$C$6:$AI$136,10,FALSE),"")</f>
        <v/>
      </c>
      <c r="G62" s="76" t="str">
        <f>IFERROR(VLOOKUP(A62,Calculations!$C$6:$AI$136,12,FALSE),"")</f>
        <v/>
      </c>
      <c r="H62" s="76" t="str">
        <f>IFERROR(VLOOKUP(A62,Calculations!$C$6:$AI$136,13,FALSE),"")</f>
        <v/>
      </c>
      <c r="I62" s="76" t="str">
        <f>IFERROR(VLOOKUP(A62,Calculations!$C$6:$AI$136,14,FALSE),"")</f>
        <v/>
      </c>
      <c r="J62" s="76" t="str">
        <f>IFERROR(VLOOKUP(A62,Calculations!$C$6:$AI$136,15,FALSE),"")</f>
        <v/>
      </c>
      <c r="K62" s="76" t="str">
        <f>IFERROR(VLOOKUP(A62,Calculations!$C$6:$AI$136,16,FALSE),"")</f>
        <v/>
      </c>
      <c r="L62" s="76" t="str">
        <f>IFERROR(VLOOKUP(A62,Calculations!$C$6:$AI$136,17,FALSE),"")</f>
        <v/>
      </c>
      <c r="M62" s="76" t="str">
        <f>IFERROR(VLOOKUP(A62,Calculations!$C$6:$AI$136,18,FALSE),"")</f>
        <v/>
      </c>
      <c r="N62" s="76" t="str">
        <f>IFERROR(VLOOKUP(A62,Calculations!$C$6:$AI$136,19,FALSE),"")</f>
        <v/>
      </c>
      <c r="O62" s="77" t="str">
        <f>IFERROR(VLOOKUP(A62,Calculations!$C$6:$AI$136,20,FALSE),"")</f>
        <v/>
      </c>
      <c r="P62" s="77" t="str">
        <f>IFERROR(VLOOKUP(A62,Calculations!$C$6:$AI$136,21,FALSE),"")</f>
        <v/>
      </c>
      <c r="Q62" s="77" t="str">
        <f>IFERROR(VLOOKUP(A62,Calculations!$C$6:$AI$136,22,FALSE),"")</f>
        <v/>
      </c>
      <c r="R62" s="77" t="str">
        <f>IFERROR(VLOOKUP(A62,Calculations!$C$6:$AI$136,23,FALSE),"")</f>
        <v/>
      </c>
      <c r="S62" s="77" t="str">
        <f>IFERROR(VLOOKUP(A62,Calculations!$C$6:$AI$136,24,FALSE),"")</f>
        <v/>
      </c>
      <c r="T62" s="77" t="str">
        <f>IFERROR(VLOOKUP(A62,Calculations!$C$6:$AI$136,25,FALSE),"")</f>
        <v/>
      </c>
      <c r="U62" s="77" t="str">
        <f>IFERROR(VLOOKUP(A62,Calculations!$C$6:$AI$136,26,FALSE),"")</f>
        <v/>
      </c>
      <c r="V62" s="77" t="str">
        <f>IFERROR(VLOOKUP(A62,Calculations!$C$6:$AI$136,27,FALSE),"")</f>
        <v/>
      </c>
      <c r="W62" s="77" t="str">
        <f>IFERROR(VLOOKUP(A62,Calculations!$C$6:$AI$136,32,FALSE),"")</f>
        <v/>
      </c>
      <c r="X62" s="77" t="str">
        <f>IFERROR(VLOOKUP(A62,Calculations!$C$6:$AI$136,33,FALSE),"")</f>
        <v/>
      </c>
      <c r="Y62" s="58" t="str">
        <f>IFERROR(VLOOKUP(A62,Calculations!$C$6:$AI$136,28,FALSE),"")</f>
        <v/>
      </c>
      <c r="Z62" s="55" t="str">
        <f>IFERROR(VLOOKUP(A62,Calculations!$C$6:$AI$136,30,FALSE),"")</f>
        <v/>
      </c>
    </row>
    <row r="63" spans="1:26" ht="15" x14ac:dyDescent="0.3">
      <c r="B63" s="35" t="str">
        <f>IFERROR(VLOOKUP(A63,Calculations!$C$6:$AI$136,4,FALSE),"")</f>
        <v>Brian Holland</v>
      </c>
      <c r="C63" s="75">
        <f>IFERROR(VLOOKUP(A63,Calculations!$C$6:$AI$136,5,FALSE),"")</f>
        <v>60627</v>
      </c>
      <c r="D63" s="75" t="str">
        <f>IFERROR(VLOOKUP(A63,Calculations!$C$6:$AI$136,6,FALSE),"")</f>
        <v>U/G</v>
      </c>
      <c r="E63" s="75" t="str">
        <f>IFERROR(VLOOKUP(A63,Calculations!$C$6:$AI$136,9,FALSE),"")</f>
        <v>PCP</v>
      </c>
      <c r="F63" s="75" t="str">
        <f>IFERROR(VLOOKUP(A63,Calculations!$C$6:$AI$136,10,FALSE),"")</f>
        <v>Frobury</v>
      </c>
      <c r="G63" s="76">
        <f>IFERROR(VLOOKUP(A63,Calculations!$C$6:$AI$136,12,FALSE),"")</f>
        <v>0</v>
      </c>
      <c r="H63" s="76">
        <f>IFERROR(VLOOKUP(A63,Calculations!$C$6:$AI$136,13,FALSE),"")</f>
        <v>0</v>
      </c>
      <c r="I63" s="76">
        <f>IFERROR(VLOOKUP(A63,Calculations!$C$6:$AI$136,14,FALSE),"")</f>
        <v>0</v>
      </c>
      <c r="J63" s="76">
        <f>IFERROR(VLOOKUP(A63,Calculations!$C$6:$AI$136,15,FALSE),"")</f>
        <v>0</v>
      </c>
      <c r="K63" s="76">
        <f>IFERROR(VLOOKUP(A63,Calculations!$C$6:$AI$136,16,FALSE),"")</f>
        <v>0</v>
      </c>
      <c r="L63" s="76">
        <f>IFERROR(VLOOKUP(A63,Calculations!$C$6:$AI$136,17,FALSE),"")</f>
        <v>30</v>
      </c>
      <c r="M63" s="76">
        <f>IFERROR(VLOOKUP(A63,Calculations!$C$6:$AI$136,18,FALSE),"")</f>
        <v>0</v>
      </c>
      <c r="N63" s="76">
        <f>IFERROR(VLOOKUP(A63,Calculations!$C$6:$AI$136,19,FALSE),"")</f>
        <v>0</v>
      </c>
      <c r="O63" s="77">
        <f>IFERROR(VLOOKUP(A63,Calculations!$C$6:$AI$136,20,FALSE),"")</f>
        <v>0</v>
      </c>
      <c r="P63" s="77">
        <f>IFERROR(VLOOKUP(A63,Calculations!$C$6:$AI$136,21,FALSE),"")</f>
        <v>0</v>
      </c>
      <c r="Q63" s="77">
        <f>IFERROR(VLOOKUP(A63,Calculations!$C$6:$AI$136,22,FALSE),"")</f>
        <v>0</v>
      </c>
      <c r="R63" s="77">
        <f>IFERROR(VLOOKUP(A63,Calculations!$C$6:$AI$136,23,FALSE),"")</f>
        <v>0</v>
      </c>
      <c r="S63" s="77">
        <f>IFERROR(VLOOKUP(A63,Calculations!$C$6:$AI$136,24,FALSE),"")</f>
        <v>0</v>
      </c>
      <c r="T63" s="77">
        <f>IFERROR(VLOOKUP(A63,Calculations!$C$6:$AI$136,25,FALSE),"")</f>
        <v>0.81081081081081086</v>
      </c>
      <c r="U63" s="77">
        <f>IFERROR(VLOOKUP(A63,Calculations!$C$6:$AI$136,26,FALSE),"")</f>
        <v>0</v>
      </c>
      <c r="V63" s="77">
        <f>IFERROR(VLOOKUP(A63,Calculations!$C$6:$AI$136,27,FALSE),"")</f>
        <v>0</v>
      </c>
      <c r="W63" s="77">
        <f>IFERROR(VLOOKUP(A63,Calculations!$C$6:$AI$136,32,FALSE),"")</f>
        <v>0</v>
      </c>
      <c r="X63" s="77">
        <f>IFERROR(VLOOKUP(A63,Calculations!$C$6:$AI$136,33,FALSE),"")</f>
        <v>0</v>
      </c>
      <c r="Y63" s="58">
        <f>IFERROR(VLOOKUP(A63,Calculations!$C$6:$AI$136,28,FALSE),"")</f>
        <v>1</v>
      </c>
      <c r="Z63" s="55">
        <f>IFERROR(VLOOKUP(A63,Calculations!$C$6:$AI$136,30,FALSE),"")</f>
        <v>0.81081081081081086</v>
      </c>
    </row>
    <row r="64" spans="1:2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0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92"/>
  <sheetViews>
    <sheetView tabSelected="1" workbookViewId="0">
      <selection activeCell="A2" sqref="A2"/>
    </sheetView>
  </sheetViews>
  <sheetFormatPr defaultColWidth="0" defaultRowHeight="14.4" zeroHeight="1" x14ac:dyDescent="0.3"/>
  <cols>
    <col min="1" max="1" width="7.5546875" style="36" customWidth="1"/>
    <col min="2" max="2" width="22.44140625" customWidth="1"/>
    <col min="3" max="3" width="8.21875" customWidth="1"/>
    <col min="4" max="4" width="6.109375" customWidth="1"/>
    <col min="5" max="5" width="6.21875" customWidth="1"/>
    <col min="6" max="6" width="13.5546875" customWidth="1"/>
    <col min="7" max="7" width="8.77734375" customWidth="1"/>
    <col min="8" max="8" width="7.6640625" customWidth="1"/>
    <col min="9" max="9" width="7.33203125" customWidth="1"/>
    <col min="10" max="10" width="8.33203125" customWidth="1"/>
    <col min="11" max="11" width="7.21875" customWidth="1"/>
    <col min="12" max="12" width="7.5546875" customWidth="1"/>
    <col min="13" max="14" width="9.109375" hidden="1" customWidth="1"/>
    <col min="15" max="15" width="8.77734375" customWidth="1"/>
    <col min="16" max="16" width="8.5546875" customWidth="1"/>
    <col min="17" max="17" width="8.21875" customWidth="1"/>
    <col min="18" max="18" width="8" customWidth="1"/>
    <col min="19" max="19" width="8.5546875" customWidth="1"/>
    <col min="20" max="20" width="8.21875" customWidth="1"/>
    <col min="21" max="22" width="9.109375" hidden="1" customWidth="1"/>
    <col min="23" max="23" width="7.21875" customWidth="1"/>
    <col min="24" max="24" width="8.10937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5" ht="28.5" customHeight="1" x14ac:dyDescent="0.3">
      <c r="A2" s="143" t="s">
        <v>196</v>
      </c>
      <c r="B2" s="70" t="s">
        <v>0</v>
      </c>
      <c r="C2" s="70" t="s">
        <v>1</v>
      </c>
      <c r="D2" s="70" t="s">
        <v>2</v>
      </c>
      <c r="E2" s="70" t="s">
        <v>3</v>
      </c>
      <c r="F2" s="70" t="s">
        <v>4</v>
      </c>
      <c r="G2" s="71" t="s">
        <v>202</v>
      </c>
      <c r="H2" s="71" t="s">
        <v>203</v>
      </c>
      <c r="I2" s="71" t="s">
        <v>204</v>
      </c>
      <c r="J2" s="71" t="s">
        <v>205</v>
      </c>
      <c r="K2" s="71" t="s">
        <v>209</v>
      </c>
      <c r="L2" s="71" t="s">
        <v>213</v>
      </c>
      <c r="M2" s="71" t="s">
        <v>156</v>
      </c>
      <c r="N2" s="71" t="s">
        <v>157</v>
      </c>
      <c r="O2" s="72" t="s">
        <v>202</v>
      </c>
      <c r="P2" s="72" t="s">
        <v>203</v>
      </c>
      <c r="Q2" s="72" t="s">
        <v>204</v>
      </c>
      <c r="R2" s="72" t="s">
        <v>205</v>
      </c>
      <c r="S2" s="72" t="s">
        <v>209</v>
      </c>
      <c r="T2" s="72" t="s">
        <v>213</v>
      </c>
      <c r="U2" s="72" t="s">
        <v>156</v>
      </c>
      <c r="V2" s="72" t="s">
        <v>157</v>
      </c>
      <c r="W2" s="73" t="s">
        <v>166</v>
      </c>
      <c r="X2" s="73" t="s">
        <v>167</v>
      </c>
      <c r="Y2" s="74"/>
    </row>
    <row r="3" spans="1:25" ht="15" x14ac:dyDescent="0.3">
      <c r="A3" s="36">
        <v>1</v>
      </c>
      <c r="B3" s="35" t="str">
        <f>IFERROR(VLOOKUP(A3,Calculations!$A$6:$AS$20,6,FALSE),"")</f>
        <v>Justin Wood</v>
      </c>
      <c r="C3" s="75">
        <f>IFERROR(VLOOKUP(A3,Calculations!$A$6:$AS$20,7,FALSE),"")</f>
        <v>1065</v>
      </c>
      <c r="D3" s="75" t="str">
        <f>IFERROR(VLOOKUP(A3,Calculations!$A$6:$AS$20,8,FALSE),"")</f>
        <v>AA</v>
      </c>
      <c r="E3" s="75" t="str">
        <f>IFERROR(VLOOKUP(A3,Calculations!$A$6:$AS$20,11,FALSE),"")</f>
        <v>PCP</v>
      </c>
      <c r="F3" s="75" t="str">
        <f>IFERROR(VLOOKUP(A3,Calculations!$A$6:$AS$20,12,FALSE),"")</f>
        <v>Meon</v>
      </c>
      <c r="G3" s="76">
        <f>IFERROR(VLOOKUP(A3,Calculations!$A$6:$AS$20,14,FALSE),"")</f>
        <v>36</v>
      </c>
      <c r="H3" s="76">
        <f>IFERROR(VLOOKUP(A3,Calculations!$A$6:$AS$20,15,FALSE),"")</f>
        <v>29</v>
      </c>
      <c r="I3" s="76" t="str">
        <f>IFERROR(VLOOKUP(A3,Calculations!$A$6:$AS$20,16,FALSE),"")</f>
        <v/>
      </c>
      <c r="J3" s="76">
        <f>IFERROR(VLOOKUP(A3,Calculations!$A$6:$AS$20,17,FALSE),"")</f>
        <v>36</v>
      </c>
      <c r="K3" s="76">
        <f>IFERROR(VLOOKUP(A3,Calculations!$A$6:$AS$20,18,FALSE),"")</f>
        <v>38</v>
      </c>
      <c r="L3" s="76">
        <f>IFERROR(VLOOKUP(A3,Calculations!$A$6:$AS$20,19,FALSE),"")</f>
        <v>37</v>
      </c>
      <c r="M3" s="76" t="str">
        <f>IFERROR(VLOOKUP(A3,Calculations!$A$6:$AS$20,20,FALSE),"")</f>
        <v/>
      </c>
      <c r="N3" s="76" t="str">
        <f>IFERROR(VLOOKUP(A3,Calculations!$A$6:$AS$20,21,FALSE),"")</f>
        <v/>
      </c>
      <c r="O3" s="77">
        <f>IFERROR(VLOOKUP(A3,Calculations!$A$6:$AS$20,22,FALSE),"")</f>
        <v>0.97297297297297303</v>
      </c>
      <c r="P3" s="77">
        <f>IFERROR(VLOOKUP(A3,Calculations!$A$6:$AS$20,23,FALSE),"")</f>
        <v>0.93548387096774188</v>
      </c>
      <c r="Q3" s="77" t="str">
        <f>IFERROR(VLOOKUP(A3,Calculations!$A$6:$AS$20,24,FALSE),"")</f>
        <v/>
      </c>
      <c r="R3" s="77">
        <f>IFERROR(VLOOKUP(A3,Calculations!$A$6:$AS$20,25,FALSE),"")</f>
        <v>1</v>
      </c>
      <c r="S3" s="77">
        <f>IFERROR(VLOOKUP(A3,Calculations!$A$6:$AS$20,26,FALSE),"")</f>
        <v>1</v>
      </c>
      <c r="T3" s="77">
        <f>IFERROR(VLOOKUP(A3,Calculations!$A$6:$AS$20,27,FALSE),"")</f>
        <v>1</v>
      </c>
      <c r="U3" s="77" t="str">
        <f>IFERROR(VLOOKUP(A3,Calculations!$A$6:$AS$20,28,FALSE),"")</f>
        <v/>
      </c>
      <c r="V3" s="77" t="str">
        <f>IFERROR(VLOOKUP(A3,Calculations!$A$6:$AS$20,29,FALSE),"")</f>
        <v/>
      </c>
      <c r="W3" s="58">
        <f>IFERROR(VLOOKUP(A3,Calculations!$A$6:$AS$20,30,FALSE),"")</f>
        <v>5</v>
      </c>
      <c r="X3" s="55">
        <f>IFERROR(VLOOKUP(A3,Calculations!$A$6:$AS$20,32,FALSE),"")</f>
        <v>0.9932432432432432</v>
      </c>
    </row>
    <row r="4" spans="1:25" ht="15" x14ac:dyDescent="0.3">
      <c r="A4" s="36">
        <v>2</v>
      </c>
      <c r="B4" s="35" t="str">
        <f>IFERROR(VLOOKUP(A4,Calculations!$A$6:$AS$20,6,FALSE),"")</f>
        <v>Terry Holt</v>
      </c>
      <c r="C4" s="75">
        <f>IFERROR(VLOOKUP(A4,Calculations!$A$6:$AS$20,7,FALSE),"")</f>
        <v>1688</v>
      </c>
      <c r="D4" s="75" t="str">
        <f>IFERROR(VLOOKUP(A4,Calculations!$A$6:$AS$20,8,FALSE),"")</f>
        <v>AA</v>
      </c>
      <c r="E4" s="75" t="str">
        <f>IFERROR(VLOOKUP(A4,Calculations!$A$6:$AS$20,11,FALSE),"")</f>
        <v>PCP</v>
      </c>
      <c r="F4" s="75" t="str">
        <f>IFERROR(VLOOKUP(A4,Calculations!$A$6:$AS$20,12,FALSE),"")</f>
        <v>Frobury</v>
      </c>
      <c r="G4" s="76">
        <f>IFERROR(VLOOKUP(A4,Calculations!$A$6:$AS$20,14,FALSE),"")</f>
        <v>36</v>
      </c>
      <c r="H4" s="76" t="str">
        <f>IFERROR(VLOOKUP(A4,Calculations!$A$6:$AS$20,15,FALSE),"")</f>
        <v/>
      </c>
      <c r="I4" s="76">
        <f>IFERROR(VLOOKUP(A4,Calculations!$A$6:$AS$20,16,FALSE),"")</f>
        <v>36</v>
      </c>
      <c r="J4" s="76">
        <f>IFERROR(VLOOKUP(A4,Calculations!$A$6:$AS$20,17,FALSE),"")</f>
        <v>34</v>
      </c>
      <c r="K4" s="76">
        <f>IFERROR(VLOOKUP(A4,Calculations!$A$6:$AS$20,18,FALSE),"")</f>
        <v>34</v>
      </c>
      <c r="L4" s="76">
        <f>IFERROR(VLOOKUP(A4,Calculations!$A$6:$AS$20,19,FALSE),"")</f>
        <v>37</v>
      </c>
      <c r="M4" s="76" t="str">
        <f>IFERROR(VLOOKUP(A4,Calculations!$A$6:$AS$20,20,FALSE),"")</f>
        <v/>
      </c>
      <c r="N4" s="76" t="str">
        <f>IFERROR(VLOOKUP(A4,Calculations!$A$6:$AS$20,21,FALSE),"")</f>
        <v/>
      </c>
      <c r="O4" s="77">
        <f>IFERROR(VLOOKUP(A4,Calculations!$A$6:$AS$20,22,FALSE),"")</f>
        <v>0.97297297297297303</v>
      </c>
      <c r="P4" s="77" t="str">
        <f>IFERROR(VLOOKUP(A4,Calculations!$A$6:$AS$20,23,FALSE),"")</f>
        <v/>
      </c>
      <c r="Q4" s="77">
        <f>IFERROR(VLOOKUP(A4,Calculations!$A$6:$AS$20,24,FALSE),"")</f>
        <v>0.97297297297297303</v>
      </c>
      <c r="R4" s="77">
        <f>IFERROR(VLOOKUP(A4,Calculations!$A$6:$AS$20,25,FALSE),"")</f>
        <v>0.94444444444444442</v>
      </c>
      <c r="S4" s="77">
        <f>IFERROR(VLOOKUP(A4,Calculations!$A$6:$AS$20,26,FALSE),"")</f>
        <v>0.89473684210526316</v>
      </c>
      <c r="T4" s="77">
        <f>IFERROR(VLOOKUP(A4,Calculations!$A$6:$AS$20,27,FALSE),"")</f>
        <v>1</v>
      </c>
      <c r="U4" s="77" t="str">
        <f>IFERROR(VLOOKUP(A4,Calculations!$A$6:$AS$20,28,FALSE),"")</f>
        <v/>
      </c>
      <c r="V4" s="77" t="str">
        <f>IFERROR(VLOOKUP(A4,Calculations!$A$6:$AS$20,29,FALSE),"")</f>
        <v/>
      </c>
      <c r="W4" s="58">
        <f>IFERROR(VLOOKUP(A4,Calculations!$A$6:$AS$20,30,FALSE),"")</f>
        <v>5</v>
      </c>
      <c r="X4" s="55">
        <f>IFERROR(VLOOKUP(A4,Calculations!$A$6:$AS$20,32,FALSE),"")</f>
        <v>0.97259759759759756</v>
      </c>
    </row>
    <row r="5" spans="1:25" ht="15" x14ac:dyDescent="0.3">
      <c r="A5" s="36">
        <v>3</v>
      </c>
      <c r="B5" s="35" t="str">
        <f>IFERROR(VLOOKUP(A5,Calculations!$A$6:$AS$20,6,FALSE),"")</f>
        <v>Austin Glass</v>
      </c>
      <c r="C5" s="75">
        <f>IFERROR(VLOOKUP(A5,Calculations!$A$6:$AS$20,7,FALSE),"")</f>
        <v>968</v>
      </c>
      <c r="D5" s="75" t="str">
        <f>IFERROR(VLOOKUP(A5,Calculations!$A$6:$AS$20,8,FALSE),"")</f>
        <v>AA</v>
      </c>
      <c r="E5" s="75" t="str">
        <f>IFERROR(VLOOKUP(A5,Calculations!$A$6:$AS$20,11,FALSE),"")</f>
        <v>PCP</v>
      </c>
      <c r="F5" s="75" t="str">
        <f>IFERROR(VLOOKUP(A5,Calculations!$A$6:$AS$20,12,FALSE),"")</f>
        <v>Weston Warrior</v>
      </c>
      <c r="G5" s="76">
        <f>IFERROR(VLOOKUP(A5,Calculations!$A$6:$AS$20,14,FALSE),"")</f>
        <v>37</v>
      </c>
      <c r="H5" s="76">
        <f>IFERROR(VLOOKUP(A5,Calculations!$A$6:$AS$20,15,FALSE),"")</f>
        <v>31</v>
      </c>
      <c r="I5" s="76">
        <f>IFERROR(VLOOKUP(A5,Calculations!$A$6:$AS$20,16,FALSE),"")</f>
        <v>33</v>
      </c>
      <c r="J5" s="76">
        <f>IFERROR(VLOOKUP(A5,Calculations!$A$6:$AS$20,17,FALSE),"")</f>
        <v>32</v>
      </c>
      <c r="K5" s="76">
        <f>IFERROR(VLOOKUP(A5,Calculations!$A$6:$AS$20,18,FALSE),"")</f>
        <v>33</v>
      </c>
      <c r="L5" s="76">
        <f>IFERROR(VLOOKUP(A5,Calculations!$A$6:$AS$20,19,FALSE),"")</f>
        <v>35</v>
      </c>
      <c r="M5" s="76" t="str">
        <f>IFERROR(VLOOKUP(A5,Calculations!$A$6:$AS$20,20,FALSE),"")</f>
        <v/>
      </c>
      <c r="N5" s="76" t="str">
        <f>IFERROR(VLOOKUP(A5,Calculations!$A$6:$AS$20,21,FALSE),"")</f>
        <v/>
      </c>
      <c r="O5" s="77">
        <f>IFERROR(VLOOKUP(A5,Calculations!$A$6:$AS$20,22,FALSE),"")</f>
        <v>1</v>
      </c>
      <c r="P5" s="77">
        <f>IFERROR(VLOOKUP(A5,Calculations!$A$6:$AS$20,23,FALSE),"")</f>
        <v>1</v>
      </c>
      <c r="Q5" s="77">
        <f>IFERROR(VLOOKUP(A5,Calculations!$A$6:$AS$20,24,FALSE),"")</f>
        <v>0.89189189189189189</v>
      </c>
      <c r="R5" s="77">
        <f>IFERROR(VLOOKUP(A5,Calculations!$A$6:$AS$20,25,FALSE),"")</f>
        <v>0.88888888888888884</v>
      </c>
      <c r="S5" s="77">
        <f>IFERROR(VLOOKUP(A5,Calculations!$A$6:$AS$20,26,FALSE),"")</f>
        <v>0.86842105263157898</v>
      </c>
      <c r="T5" s="77">
        <f>IFERROR(VLOOKUP(A5,Calculations!$A$6:$AS$20,27,FALSE),"")</f>
        <v>0.94594594594594594</v>
      </c>
      <c r="U5" s="77" t="str">
        <f>IFERROR(VLOOKUP(A5,Calculations!$A$6:$AS$20,28,FALSE),"")</f>
        <v/>
      </c>
      <c r="V5" s="77" t="str">
        <f>IFERROR(VLOOKUP(A5,Calculations!$A$6:$AS$20,29,FALSE),"")</f>
        <v/>
      </c>
      <c r="W5" s="58">
        <f>IFERROR(VLOOKUP(A5,Calculations!$A$6:$AS$20,30,FALSE),"")</f>
        <v>6</v>
      </c>
      <c r="X5" s="55">
        <f>IFERROR(VLOOKUP(A5,Calculations!$A$6:$AS$20,32,FALSE),"")</f>
        <v>0.95945945945945943</v>
      </c>
    </row>
    <row r="6" spans="1:25" ht="15" x14ac:dyDescent="0.3">
      <c r="A6" s="36">
        <v>4</v>
      </c>
      <c r="B6" s="35" t="str">
        <f>IFERROR(VLOOKUP(A6,Calculations!$A$6:$AS$20,6,FALSE),"")</f>
        <v>Glenn Newman</v>
      </c>
      <c r="C6" s="75">
        <f>IFERROR(VLOOKUP(A6,Calculations!$A$6:$AS$20,7,FALSE),"")</f>
        <v>834</v>
      </c>
      <c r="D6" s="75" t="str">
        <f>IFERROR(VLOOKUP(A6,Calculations!$A$6:$AS$20,8,FALSE),"")</f>
        <v>AA</v>
      </c>
      <c r="E6" s="75" t="str">
        <f>IFERROR(VLOOKUP(A6,Calculations!$A$6:$AS$20,11,FALSE),"")</f>
        <v>PCP</v>
      </c>
      <c r="F6" s="75" t="str">
        <f>IFERROR(VLOOKUP(A6,Calculations!$A$6:$AS$20,12,FALSE),"")</f>
        <v>Weston Warrior</v>
      </c>
      <c r="G6" s="76">
        <f>IFERROR(VLOOKUP(A6,Calculations!$A$6:$AS$20,14,FALSE),"")</f>
        <v>34</v>
      </c>
      <c r="H6" s="76">
        <f>IFERROR(VLOOKUP(A6,Calculations!$A$6:$AS$20,15,FALSE),"")</f>
        <v>27</v>
      </c>
      <c r="I6" s="76">
        <f>IFERROR(VLOOKUP(A6,Calculations!$A$6:$AS$20,16,FALSE),"")</f>
        <v>37</v>
      </c>
      <c r="J6" s="76">
        <f>IFERROR(VLOOKUP(A6,Calculations!$A$6:$AS$20,17,FALSE),"")</f>
        <v>29</v>
      </c>
      <c r="K6" s="76">
        <f>IFERROR(VLOOKUP(A6,Calculations!$A$6:$AS$20,18,FALSE),"")</f>
        <v>32</v>
      </c>
      <c r="L6" s="76">
        <f>IFERROR(VLOOKUP(A6,Calculations!$A$6:$AS$20,19,FALSE),"")</f>
        <v>36</v>
      </c>
      <c r="M6" s="76" t="str">
        <f>IFERROR(VLOOKUP(A6,Calculations!$A$6:$AS$20,20,FALSE),"")</f>
        <v/>
      </c>
      <c r="N6" s="76" t="str">
        <f>IFERROR(VLOOKUP(A6,Calculations!$A$6:$AS$20,21,FALSE),"")</f>
        <v/>
      </c>
      <c r="O6" s="77">
        <f>IFERROR(VLOOKUP(A6,Calculations!$A$6:$AS$20,22,FALSE),"")</f>
        <v>0.91891891891891897</v>
      </c>
      <c r="P6" s="77">
        <f>IFERROR(VLOOKUP(A6,Calculations!$A$6:$AS$20,23,FALSE),"")</f>
        <v>0.87096774193548387</v>
      </c>
      <c r="Q6" s="77">
        <f>IFERROR(VLOOKUP(A6,Calculations!$A$6:$AS$20,24,FALSE),"")</f>
        <v>1</v>
      </c>
      <c r="R6" s="77">
        <f>IFERROR(VLOOKUP(A6,Calculations!$A$6:$AS$20,25,FALSE),"")</f>
        <v>0.80555555555555558</v>
      </c>
      <c r="S6" s="77">
        <f>IFERROR(VLOOKUP(A6,Calculations!$A$6:$AS$20,26,FALSE),"")</f>
        <v>0.84210526315789469</v>
      </c>
      <c r="T6" s="77">
        <f>IFERROR(VLOOKUP(A6,Calculations!$A$6:$AS$20,27,FALSE),"")</f>
        <v>0.97297297297297303</v>
      </c>
      <c r="U6" s="77" t="str">
        <f>IFERROR(VLOOKUP(A6,Calculations!$A$6:$AS$20,28,FALSE),"")</f>
        <v/>
      </c>
      <c r="V6" s="77" t="str">
        <f>IFERROR(VLOOKUP(A6,Calculations!$A$6:$AS$20,29,FALSE),"")</f>
        <v/>
      </c>
      <c r="W6" s="58">
        <f>IFERROR(VLOOKUP(A6,Calculations!$A$6:$AS$20,30,FALSE),"")</f>
        <v>6</v>
      </c>
      <c r="X6" s="55">
        <f>IFERROR(VLOOKUP(A6,Calculations!$A$6:$AS$20,32,FALSE),"")</f>
        <v>0.94071490845684402</v>
      </c>
    </row>
    <row r="7" spans="1:25" ht="15" x14ac:dyDescent="0.3">
      <c r="A7" s="36">
        <v>5</v>
      </c>
      <c r="B7" s="35" t="str">
        <f>IFERROR(VLOOKUP(A7,Calculations!$A$6:$AS$20,6,FALSE),"")</f>
        <v>Mel Hills</v>
      </c>
      <c r="C7" s="75">
        <f>IFERROR(VLOOKUP(A7,Calculations!$A$6:$AS$20,7,FALSE),"")</f>
        <v>1691</v>
      </c>
      <c r="D7" s="75" t="str">
        <f>IFERROR(VLOOKUP(A7,Calculations!$A$6:$AS$20,8,FALSE),"")</f>
        <v>AA</v>
      </c>
      <c r="E7" s="75" t="str">
        <f>IFERROR(VLOOKUP(A7,Calculations!$A$6:$AS$20,11,FALSE),"")</f>
        <v>PCP</v>
      </c>
      <c r="F7" s="75" t="str">
        <f>IFERROR(VLOOKUP(A7,Calculations!$A$6:$AS$20,12,FALSE),"")</f>
        <v>Frobury</v>
      </c>
      <c r="G7" s="76">
        <f>IFERROR(VLOOKUP(A7,Calculations!$A$6:$AS$20,14,FALSE),"")</f>
        <v>29</v>
      </c>
      <c r="H7" s="76">
        <f>IFERROR(VLOOKUP(A7,Calculations!$A$6:$AS$20,15,FALSE),"")</f>
        <v>29</v>
      </c>
      <c r="I7" s="76">
        <f>IFERROR(VLOOKUP(A7,Calculations!$A$6:$AS$20,16,FALSE),"")</f>
        <v>33</v>
      </c>
      <c r="J7" s="76">
        <f>IFERROR(VLOOKUP(A7,Calculations!$A$6:$AS$20,17,FALSE),"")</f>
        <v>34</v>
      </c>
      <c r="K7" s="76">
        <f>IFERROR(VLOOKUP(A7,Calculations!$A$6:$AS$20,18,FALSE),"")</f>
        <v>31</v>
      </c>
      <c r="L7" s="76">
        <f>IFERROR(VLOOKUP(A7,Calculations!$A$6:$AS$20,19,FALSE),"")</f>
        <v>35</v>
      </c>
      <c r="M7" s="76" t="str">
        <f>IFERROR(VLOOKUP(A7,Calculations!$A$6:$AS$20,20,FALSE),"")</f>
        <v/>
      </c>
      <c r="N7" s="76" t="str">
        <f>IFERROR(VLOOKUP(A7,Calculations!$A$6:$AS$20,21,FALSE),"")</f>
        <v/>
      </c>
      <c r="O7" s="77">
        <f>IFERROR(VLOOKUP(A7,Calculations!$A$6:$AS$20,22,FALSE),"")</f>
        <v>0.78378378378378377</v>
      </c>
      <c r="P7" s="77">
        <f>IFERROR(VLOOKUP(A7,Calculations!$A$6:$AS$20,23,FALSE),"")</f>
        <v>0.93548387096774188</v>
      </c>
      <c r="Q7" s="77">
        <f>IFERROR(VLOOKUP(A7,Calculations!$A$6:$AS$20,24,FALSE),"")</f>
        <v>0.89189189189189189</v>
      </c>
      <c r="R7" s="77">
        <f>IFERROR(VLOOKUP(A7,Calculations!$A$6:$AS$20,25,FALSE),"")</f>
        <v>0.94444444444444442</v>
      </c>
      <c r="S7" s="77">
        <f>IFERROR(VLOOKUP(A7,Calculations!$A$6:$AS$20,26,FALSE),"")</f>
        <v>0.81578947368421051</v>
      </c>
      <c r="T7" s="77">
        <f>IFERROR(VLOOKUP(A7,Calculations!$A$6:$AS$20,27,FALSE),"")</f>
        <v>0.94594594594594594</v>
      </c>
      <c r="U7" s="77" t="str">
        <f>IFERROR(VLOOKUP(A7,Calculations!$A$6:$AS$20,28,FALSE),"")</f>
        <v/>
      </c>
      <c r="V7" s="77" t="str">
        <f>IFERROR(VLOOKUP(A7,Calculations!$A$6:$AS$20,29,FALSE),"")</f>
        <v/>
      </c>
      <c r="W7" s="58">
        <f>IFERROR(VLOOKUP(A7,Calculations!$A$6:$AS$20,30,FALSE),"")</f>
        <v>6</v>
      </c>
      <c r="X7" s="55">
        <f>IFERROR(VLOOKUP(A7,Calculations!$A$6:$AS$20,32,FALSE),"")</f>
        <v>0.92944153831250609</v>
      </c>
    </row>
    <row r="8" spans="1:25" ht="15" x14ac:dyDescent="0.3">
      <c r="A8" s="36">
        <v>6</v>
      </c>
      <c r="B8" s="35" t="str">
        <f>IFERROR(VLOOKUP(A8,Calculations!$A$6:$AS$20,6,FALSE),"")</f>
        <v>Steve Privett</v>
      </c>
      <c r="C8" s="75">
        <f>IFERROR(VLOOKUP(A8,Calculations!$A$6:$AS$20,7,FALSE),"")</f>
        <v>880</v>
      </c>
      <c r="D8" s="75" t="str">
        <f>IFERROR(VLOOKUP(A8,Calculations!$A$6:$AS$20,8,FALSE),"")</f>
        <v>AA</v>
      </c>
      <c r="E8" s="75" t="str">
        <f>IFERROR(VLOOKUP(A8,Calculations!$A$6:$AS$20,11,FALSE),"")</f>
        <v>PCP</v>
      </c>
      <c r="F8" s="75" t="str">
        <f>IFERROR(VLOOKUP(A8,Calculations!$A$6:$AS$20,12,FALSE),"")</f>
        <v>Buccaneers</v>
      </c>
      <c r="G8" s="76">
        <f>IFERROR(VLOOKUP(A8,Calculations!$A$6:$AS$20,14,FALSE),"")</f>
        <v>36</v>
      </c>
      <c r="H8" s="76">
        <f>IFERROR(VLOOKUP(A8,Calculations!$A$6:$AS$20,15,FALSE),"")</f>
        <v>28</v>
      </c>
      <c r="I8" s="76">
        <f>IFERROR(VLOOKUP(A8,Calculations!$A$6:$AS$20,16,FALSE),"")</f>
        <v>33</v>
      </c>
      <c r="J8" s="76" t="str">
        <f>IFERROR(VLOOKUP(A8,Calculations!$A$6:$AS$20,17,FALSE),"")</f>
        <v/>
      </c>
      <c r="K8" s="76">
        <f>IFERROR(VLOOKUP(A8,Calculations!$A$6:$AS$20,18,FALSE),"")</f>
        <v>34</v>
      </c>
      <c r="L8" s="76">
        <f>IFERROR(VLOOKUP(A8,Calculations!$A$6:$AS$20,19,FALSE),"")</f>
        <v>34</v>
      </c>
      <c r="M8" s="76" t="str">
        <f>IFERROR(VLOOKUP(A8,Calculations!$A$6:$AS$20,20,FALSE),"")</f>
        <v/>
      </c>
      <c r="N8" s="76" t="str">
        <f>IFERROR(VLOOKUP(A8,Calculations!$A$6:$AS$20,21,FALSE),"")</f>
        <v/>
      </c>
      <c r="O8" s="77">
        <f>IFERROR(VLOOKUP(A8,Calculations!$A$6:$AS$20,22,FALSE),"")</f>
        <v>0.97297297297297303</v>
      </c>
      <c r="P8" s="77">
        <f>IFERROR(VLOOKUP(A8,Calculations!$A$6:$AS$20,23,FALSE),"")</f>
        <v>0.90322580645161288</v>
      </c>
      <c r="Q8" s="77">
        <f>IFERROR(VLOOKUP(A8,Calculations!$A$6:$AS$20,24,FALSE),"")</f>
        <v>0.89189189189189189</v>
      </c>
      <c r="R8" s="77" t="str">
        <f>IFERROR(VLOOKUP(A8,Calculations!$A$6:$AS$20,25,FALSE),"")</f>
        <v/>
      </c>
      <c r="S8" s="77">
        <f>IFERROR(VLOOKUP(A8,Calculations!$A$6:$AS$20,26,FALSE),"")</f>
        <v>0.89473684210526316</v>
      </c>
      <c r="T8" s="77">
        <f>IFERROR(VLOOKUP(A8,Calculations!$A$6:$AS$20,27,FALSE),"")</f>
        <v>0.91891891891891897</v>
      </c>
      <c r="U8" s="77" t="str">
        <f>IFERROR(VLOOKUP(A8,Calculations!$A$6:$AS$20,28,FALSE),"")</f>
        <v/>
      </c>
      <c r="V8" s="77" t="str">
        <f>IFERROR(VLOOKUP(A8,Calculations!$A$6:$AS$20,29,FALSE),"")</f>
        <v/>
      </c>
      <c r="W8" s="58">
        <f>IFERROR(VLOOKUP(A8,Calculations!$A$6:$AS$20,30,FALSE),"")</f>
        <v>5</v>
      </c>
      <c r="X8" s="55">
        <f>IFERROR(VLOOKUP(A8,Calculations!$A$6:$AS$20,32,FALSE),"")</f>
        <v>0.92246363511219209</v>
      </c>
    </row>
    <row r="9" spans="1:25" ht="15" x14ac:dyDescent="0.3">
      <c r="A9" s="36">
        <v>7</v>
      </c>
      <c r="B9" s="35" t="str">
        <f>IFERROR(VLOOKUP(A9,Calculations!$A$6:$AS$20,6,FALSE),"")</f>
        <v>Allan Dyke</v>
      </c>
      <c r="C9" s="75">
        <f>IFERROR(VLOOKUP(A9,Calculations!$A$6:$AS$20,7,FALSE),"")</f>
        <v>1748</v>
      </c>
      <c r="D9" s="75" t="str">
        <f>IFERROR(VLOOKUP(A9,Calculations!$A$6:$AS$20,8,FALSE),"")</f>
        <v>AA</v>
      </c>
      <c r="E9" s="75" t="str">
        <f>IFERROR(VLOOKUP(A9,Calculations!$A$6:$AS$20,11,FALSE),"")</f>
        <v>PCP</v>
      </c>
      <c r="F9" s="75" t="str">
        <f>IFERROR(VLOOKUP(A9,Calculations!$A$6:$AS$20,12,FALSE),"")</f>
        <v>Carisbrooke</v>
      </c>
      <c r="G9" s="76" t="str">
        <f>IFERROR(VLOOKUP(A9,Calculations!$A$6:$AS$20,14,FALSE),"")</f>
        <v/>
      </c>
      <c r="H9" s="76">
        <f>IFERROR(VLOOKUP(A9,Calculations!$A$6:$AS$20,15,FALSE),"")</f>
        <v>28</v>
      </c>
      <c r="I9" s="76">
        <f>IFERROR(VLOOKUP(A9,Calculations!$A$6:$AS$20,16,FALSE),"")</f>
        <v>34</v>
      </c>
      <c r="J9" s="76">
        <f>IFERROR(VLOOKUP(A9,Calculations!$A$6:$AS$20,17,FALSE),"")</f>
        <v>30</v>
      </c>
      <c r="K9" s="76">
        <f>IFERROR(VLOOKUP(A9,Calculations!$A$6:$AS$20,18,FALSE),"")</f>
        <v>35</v>
      </c>
      <c r="L9" s="76">
        <f>IFERROR(VLOOKUP(A9,Calculations!$A$6:$AS$20,19,FALSE),"")</f>
        <v>35</v>
      </c>
      <c r="M9" s="76" t="str">
        <f>IFERROR(VLOOKUP(A9,Calculations!$A$6:$AS$20,20,FALSE),"")</f>
        <v/>
      </c>
      <c r="N9" s="76" t="str">
        <f>IFERROR(VLOOKUP(A9,Calculations!$A$6:$AS$20,21,FALSE),"")</f>
        <v/>
      </c>
      <c r="O9" s="77" t="str">
        <f>IFERROR(VLOOKUP(A9,Calculations!$A$6:$AS$20,22,FALSE),"")</f>
        <v/>
      </c>
      <c r="P9" s="77">
        <f>IFERROR(VLOOKUP(A9,Calculations!$A$6:$AS$20,23,FALSE),"")</f>
        <v>0.90322580645161288</v>
      </c>
      <c r="Q9" s="77">
        <f>IFERROR(VLOOKUP(A9,Calculations!$A$6:$AS$20,24,FALSE),"")</f>
        <v>0.91891891891891897</v>
      </c>
      <c r="R9" s="77">
        <f>IFERROR(VLOOKUP(A9,Calculations!$A$6:$AS$20,25,FALSE),"")</f>
        <v>0.83333333333333337</v>
      </c>
      <c r="S9" s="77">
        <f>IFERROR(VLOOKUP(A9,Calculations!$A$6:$AS$20,26,FALSE),"")</f>
        <v>0.92105263157894735</v>
      </c>
      <c r="T9" s="77">
        <f>IFERROR(VLOOKUP(A9,Calculations!$A$6:$AS$20,27,FALSE),"")</f>
        <v>0.94594594594594594</v>
      </c>
      <c r="U9" s="77" t="str">
        <f>IFERROR(VLOOKUP(A9,Calculations!$A$6:$AS$20,28,FALSE),"")</f>
        <v/>
      </c>
      <c r="V9" s="77" t="str">
        <f>IFERROR(VLOOKUP(A9,Calculations!$A$6:$AS$20,29,FALSE),"")</f>
        <v/>
      </c>
      <c r="W9" s="58">
        <f>IFERROR(VLOOKUP(A9,Calculations!$A$6:$AS$20,30,FALSE),"")</f>
        <v>5</v>
      </c>
      <c r="X9" s="55">
        <f>IFERROR(VLOOKUP(A9,Calculations!$A$6:$AS$20,32,FALSE),"")</f>
        <v>0.92228582572385631</v>
      </c>
    </row>
    <row r="10" spans="1:25" ht="15" x14ac:dyDescent="0.3">
      <c r="A10" s="36">
        <v>8</v>
      </c>
      <c r="B10" s="35" t="str">
        <f>IFERROR(VLOOKUP(A10,Calculations!$A$6:$AS$20,6,FALSE),"")</f>
        <v>Clive Turner</v>
      </c>
      <c r="C10" s="75" t="str">
        <f>IFERROR(VLOOKUP(A10,Calculations!$A$6:$AS$20,7,FALSE),"")</f>
        <v/>
      </c>
      <c r="D10" s="75" t="str">
        <f>IFERROR(VLOOKUP(A10,Calculations!$A$6:$AS$20,8,FALSE),"")</f>
        <v>AA</v>
      </c>
      <c r="E10" s="75" t="str">
        <f>IFERROR(VLOOKUP(A10,Calculations!$A$6:$AS$20,11,FALSE),"")</f>
        <v>Piston</v>
      </c>
      <c r="F10" s="75" t="str">
        <f>IFERROR(VLOOKUP(A10,Calculations!$A$6:$AS$20,12,FALSE),"")</f>
        <v>Weston Warrior</v>
      </c>
      <c r="G10" s="76" t="str">
        <f>IFERROR(VLOOKUP(A10,Calculations!$A$6:$AS$20,14,FALSE),"")</f>
        <v/>
      </c>
      <c r="H10" s="76" t="str">
        <f>IFERROR(VLOOKUP(A10,Calculations!$A$6:$AS$20,15,FALSE),"")</f>
        <v/>
      </c>
      <c r="I10" s="76" t="str">
        <f>IFERROR(VLOOKUP(A10,Calculations!$A$6:$AS$20,16,FALSE),"")</f>
        <v/>
      </c>
      <c r="J10" s="76">
        <f>IFERROR(VLOOKUP(A10,Calculations!$A$6:$AS$20,17,FALSE),"")</f>
        <v>33</v>
      </c>
      <c r="K10" s="76">
        <f>IFERROR(VLOOKUP(A10,Calculations!$A$6:$AS$20,18,FALSE),"")</f>
        <v>34</v>
      </c>
      <c r="L10" s="76">
        <f>IFERROR(VLOOKUP(A10,Calculations!$A$6:$AS$20,19,FALSE),"")</f>
        <v>35</v>
      </c>
      <c r="M10" s="76" t="str">
        <f>IFERROR(VLOOKUP(A10,Calculations!$A$6:$AS$20,20,FALSE),"")</f>
        <v/>
      </c>
      <c r="N10" s="76" t="str">
        <f>IFERROR(VLOOKUP(A10,Calculations!$A$6:$AS$20,21,FALSE),"")</f>
        <v/>
      </c>
      <c r="O10" s="77" t="str">
        <f>IFERROR(VLOOKUP(A10,Calculations!$A$6:$AS$20,22,FALSE),"")</f>
        <v/>
      </c>
      <c r="P10" s="77" t="str">
        <f>IFERROR(VLOOKUP(A10,Calculations!$A$6:$AS$20,23,FALSE),"")</f>
        <v/>
      </c>
      <c r="Q10" s="77" t="str">
        <f>IFERROR(VLOOKUP(A10,Calculations!$A$6:$AS$20,24,FALSE),"")</f>
        <v/>
      </c>
      <c r="R10" s="77">
        <f>IFERROR(VLOOKUP(A10,Calculations!$A$6:$AS$20,25,FALSE),"")</f>
        <v>0.91666666666666663</v>
      </c>
      <c r="S10" s="77">
        <f>IFERROR(VLOOKUP(A10,Calculations!$A$6:$AS$20,26,FALSE),"")</f>
        <v>0.89473684210526316</v>
      </c>
      <c r="T10" s="77">
        <f>IFERROR(VLOOKUP(A10,Calculations!$A$6:$AS$20,27,FALSE),"")</f>
        <v>0.94594594594594594</v>
      </c>
      <c r="U10" s="77" t="str">
        <f>IFERROR(VLOOKUP(A10,Calculations!$A$6:$AS$20,28,FALSE),"")</f>
        <v/>
      </c>
      <c r="V10" s="77" t="str">
        <f>IFERROR(VLOOKUP(A10,Calculations!$A$6:$AS$20,29,FALSE),"")</f>
        <v/>
      </c>
      <c r="W10" s="58">
        <f>IFERROR(VLOOKUP(A10,Calculations!$A$6:$AS$20,30,FALSE),"")</f>
        <v>3</v>
      </c>
      <c r="X10" s="55">
        <f>IFERROR(VLOOKUP(A10,Calculations!$A$6:$AS$20,32,FALSE),"")</f>
        <v>0.91911648490595865</v>
      </c>
    </row>
    <row r="11" spans="1:25" ht="15" x14ac:dyDescent="0.3">
      <c r="A11" s="36">
        <v>9</v>
      </c>
      <c r="B11" s="35" t="str">
        <f>IFERROR(VLOOKUP(A11,Calculations!$A$6:$AS$20,6,FALSE),"")</f>
        <v>Barry Warren</v>
      </c>
      <c r="C11" s="75">
        <f>IFERROR(VLOOKUP(A11,Calculations!$A$6:$AS$20,7,FALSE),"")</f>
        <v>1616</v>
      </c>
      <c r="D11" s="75" t="str">
        <f>IFERROR(VLOOKUP(A11,Calculations!$A$6:$AS$20,8,FALSE),"")</f>
        <v>AA</v>
      </c>
      <c r="E11" s="75" t="str">
        <f>IFERROR(VLOOKUP(A11,Calculations!$A$6:$AS$20,11,FALSE),"")</f>
        <v>PCP</v>
      </c>
      <c r="F11" s="75" t="str">
        <f>IFERROR(VLOOKUP(A11,Calculations!$A$6:$AS$20,12,FALSE),"")</f>
        <v>Carisbrooke</v>
      </c>
      <c r="G11" s="76">
        <f>IFERROR(VLOOKUP(A11,Calculations!$A$6:$AS$20,14,FALSE),"")</f>
        <v>32</v>
      </c>
      <c r="H11" s="76" t="str">
        <f>IFERROR(VLOOKUP(A11,Calculations!$A$6:$AS$20,15,FALSE),"")</f>
        <v/>
      </c>
      <c r="I11" s="76" t="str">
        <f>IFERROR(VLOOKUP(A11,Calculations!$A$6:$AS$20,16,FALSE),"")</f>
        <v/>
      </c>
      <c r="J11" s="76" t="str">
        <f>IFERROR(VLOOKUP(A11,Calculations!$A$6:$AS$20,17,FALSE),"")</f>
        <v/>
      </c>
      <c r="K11" s="76">
        <f>IFERROR(VLOOKUP(A11,Calculations!$A$6:$AS$20,18,FALSE),"")</f>
        <v>33</v>
      </c>
      <c r="L11" s="76">
        <f>IFERROR(VLOOKUP(A11,Calculations!$A$6:$AS$20,19,FALSE),"")</f>
        <v>34</v>
      </c>
      <c r="M11" s="76" t="str">
        <f>IFERROR(VLOOKUP(A11,Calculations!$A$6:$AS$20,20,FALSE),"")</f>
        <v/>
      </c>
      <c r="N11" s="76" t="str">
        <f>IFERROR(VLOOKUP(A11,Calculations!$A$6:$AS$20,21,FALSE),"")</f>
        <v/>
      </c>
      <c r="O11" s="77">
        <f>IFERROR(VLOOKUP(A11,Calculations!$A$6:$AS$20,22,FALSE),"")</f>
        <v>0.86486486486486491</v>
      </c>
      <c r="P11" s="77" t="str">
        <f>IFERROR(VLOOKUP(A11,Calculations!$A$6:$AS$20,23,FALSE),"")</f>
        <v/>
      </c>
      <c r="Q11" s="77" t="str">
        <f>IFERROR(VLOOKUP(A11,Calculations!$A$6:$AS$20,24,FALSE),"")</f>
        <v/>
      </c>
      <c r="R11" s="77" t="str">
        <f>IFERROR(VLOOKUP(A11,Calculations!$A$6:$AS$20,25,FALSE),"")</f>
        <v/>
      </c>
      <c r="S11" s="77">
        <f>IFERROR(VLOOKUP(A11,Calculations!$A$6:$AS$20,26,FALSE),"")</f>
        <v>0.86842105263157898</v>
      </c>
      <c r="T11" s="77">
        <f>IFERROR(VLOOKUP(A11,Calculations!$A$6:$AS$20,27,FALSE),"")</f>
        <v>0.91891891891891897</v>
      </c>
      <c r="U11" s="77" t="str">
        <f>IFERROR(VLOOKUP(A11,Calculations!$A$6:$AS$20,28,FALSE),"")</f>
        <v/>
      </c>
      <c r="V11" s="77" t="str">
        <f>IFERROR(VLOOKUP(A11,Calculations!$A$6:$AS$20,29,FALSE),"")</f>
        <v/>
      </c>
      <c r="W11" s="58">
        <f>IFERROR(VLOOKUP(A11,Calculations!$A$6:$AS$20,30,FALSE),"")</f>
        <v>3</v>
      </c>
      <c r="X11" s="55">
        <f>IFERROR(VLOOKUP(A11,Calculations!$A$6:$AS$20,32,FALSE),"")</f>
        <v>0.88406827880512096</v>
      </c>
    </row>
    <row r="12" spans="1:25" ht="15" x14ac:dyDescent="0.3">
      <c r="A12" s="36">
        <v>10</v>
      </c>
      <c r="B12" s="35" t="str">
        <f>IFERROR(VLOOKUP(A12,Calculations!$A$6:$AS$20,6,FALSE),"")</f>
        <v>Richard Green</v>
      </c>
      <c r="C12" s="75">
        <f>IFERROR(VLOOKUP(A12,Calculations!$A$6:$AS$20,7,FALSE),"")</f>
        <v>94</v>
      </c>
      <c r="D12" s="75" t="str">
        <f>IFERROR(VLOOKUP(A12,Calculations!$A$6:$AS$20,8,FALSE),"")</f>
        <v>AA</v>
      </c>
      <c r="E12" s="75" t="str">
        <f>IFERROR(VLOOKUP(A12,Calculations!$A$6:$AS$20,11,FALSE),"")</f>
        <v>PCP</v>
      </c>
      <c r="F12" s="75" t="str">
        <f>IFERROR(VLOOKUP(A12,Calculations!$A$6:$AS$20,12,FALSE),"")</f>
        <v>Carisbrooke</v>
      </c>
      <c r="G12" s="76">
        <f>IFERROR(VLOOKUP(A12,Calculations!$A$6:$AS$20,14,FALSE),"")</f>
        <v>32</v>
      </c>
      <c r="H12" s="76">
        <f>IFERROR(VLOOKUP(A12,Calculations!$A$6:$AS$20,15,FALSE),"")</f>
        <v>27</v>
      </c>
      <c r="I12" s="76" t="str">
        <f>IFERROR(VLOOKUP(A12,Calculations!$A$6:$AS$20,16,FALSE),"")</f>
        <v/>
      </c>
      <c r="J12" s="76" t="str">
        <f>IFERROR(VLOOKUP(A12,Calculations!$A$6:$AS$20,17,FALSE),"")</f>
        <v/>
      </c>
      <c r="K12" s="76">
        <f>IFERROR(VLOOKUP(A12,Calculations!$A$6:$AS$20,18,FALSE),"")</f>
        <v>32</v>
      </c>
      <c r="L12" s="76">
        <f>IFERROR(VLOOKUP(A12,Calculations!$A$6:$AS$20,19,FALSE),"")</f>
        <v>35</v>
      </c>
      <c r="M12" s="76" t="str">
        <f>IFERROR(VLOOKUP(A12,Calculations!$A$6:$AS$20,20,FALSE),"")</f>
        <v/>
      </c>
      <c r="N12" s="76" t="str">
        <f>IFERROR(VLOOKUP(A12,Calculations!$A$6:$AS$20,21,FALSE),"")</f>
        <v/>
      </c>
      <c r="O12" s="77">
        <f>IFERROR(VLOOKUP(A12,Calculations!$A$6:$AS$20,22,FALSE),"")</f>
        <v>0.86486486486486491</v>
      </c>
      <c r="P12" s="77">
        <f>IFERROR(VLOOKUP(A12,Calculations!$A$6:$AS$20,23,FALSE),"")</f>
        <v>0.87096774193548387</v>
      </c>
      <c r="Q12" s="77" t="str">
        <f>IFERROR(VLOOKUP(A12,Calculations!$A$6:$AS$20,24,FALSE),"")</f>
        <v/>
      </c>
      <c r="R12" s="77" t="str">
        <f>IFERROR(VLOOKUP(A12,Calculations!$A$6:$AS$20,25,FALSE),"")</f>
        <v/>
      </c>
      <c r="S12" s="77">
        <f>IFERROR(VLOOKUP(A12,Calculations!$A$6:$AS$20,26,FALSE),"")</f>
        <v>0.84210526315789469</v>
      </c>
      <c r="T12" s="77">
        <f>IFERROR(VLOOKUP(A12,Calculations!$A$6:$AS$20,27,FALSE),"")</f>
        <v>0.94594594594594594</v>
      </c>
      <c r="U12" s="77" t="str">
        <f>IFERROR(VLOOKUP(A12,Calculations!$A$6:$AS$20,28,FALSE),"")</f>
        <v/>
      </c>
      <c r="V12" s="77" t="str">
        <f>IFERROR(VLOOKUP(A12,Calculations!$A$6:$AS$20,29,FALSE),"")</f>
        <v/>
      </c>
      <c r="W12" s="58">
        <f>IFERROR(VLOOKUP(A12,Calculations!$A$6:$AS$20,30,FALSE),"")</f>
        <v>4</v>
      </c>
      <c r="X12" s="55">
        <f>IFERROR(VLOOKUP(A12,Calculations!$A$6:$AS$20,31,FALSE),"")</f>
        <v>0.88097095397604741</v>
      </c>
    </row>
    <row r="13" spans="1:25" ht="15" x14ac:dyDescent="0.3">
      <c r="A13" s="36">
        <v>11</v>
      </c>
      <c r="B13" s="19" t="s">
        <v>81</v>
      </c>
      <c r="C13" s="75">
        <v>1544</v>
      </c>
      <c r="D13" s="75" t="s">
        <v>22</v>
      </c>
      <c r="E13" s="75" t="s">
        <v>10</v>
      </c>
      <c r="F13" s="75" t="s">
        <v>24</v>
      </c>
      <c r="G13" s="76"/>
      <c r="H13" s="76"/>
      <c r="I13" s="76"/>
      <c r="J13" s="76">
        <v>29</v>
      </c>
      <c r="K13" s="76">
        <v>32</v>
      </c>
      <c r="L13" s="76">
        <v>36</v>
      </c>
      <c r="M13" s="76"/>
      <c r="N13" s="76"/>
      <c r="O13" s="77"/>
      <c r="P13" s="77"/>
      <c r="Q13" s="77"/>
      <c r="R13" s="77">
        <v>0.80555555555555558</v>
      </c>
      <c r="S13" s="77">
        <v>0.84210526315789469</v>
      </c>
      <c r="T13" s="77">
        <v>0.97297297297297303</v>
      </c>
      <c r="U13" s="77"/>
      <c r="V13" s="77"/>
      <c r="W13" s="58">
        <v>3</v>
      </c>
      <c r="X13" s="55">
        <v>0.87354459722880773</v>
      </c>
    </row>
    <row r="14" spans="1:25" ht="25.5" customHeight="1" x14ac:dyDescent="0.3">
      <c r="A14" s="128" t="s">
        <v>197</v>
      </c>
      <c r="B14" s="70" t="s">
        <v>0</v>
      </c>
      <c r="C14" s="70" t="s">
        <v>1</v>
      </c>
      <c r="D14" s="70" t="s">
        <v>2</v>
      </c>
      <c r="E14" s="70" t="s">
        <v>3</v>
      </c>
      <c r="F14" s="70" t="s">
        <v>4</v>
      </c>
      <c r="G14" s="71" t="s">
        <v>150</v>
      </c>
      <c r="H14" s="71" t="s">
        <v>151</v>
      </c>
      <c r="I14" s="71" t="s">
        <v>152</v>
      </c>
      <c r="J14" s="71" t="s">
        <v>153</v>
      </c>
      <c r="K14" s="71" t="s">
        <v>154</v>
      </c>
      <c r="L14" s="71" t="s">
        <v>155</v>
      </c>
      <c r="M14" s="71" t="s">
        <v>156</v>
      </c>
      <c r="N14" s="71" t="s">
        <v>157</v>
      </c>
      <c r="O14" s="72" t="s">
        <v>150</v>
      </c>
      <c r="P14" s="72" t="s">
        <v>151</v>
      </c>
      <c r="Q14" s="72" t="s">
        <v>152</v>
      </c>
      <c r="R14" s="72" t="s">
        <v>153</v>
      </c>
      <c r="S14" s="72" t="s">
        <v>154</v>
      </c>
      <c r="T14" s="72" t="s">
        <v>155</v>
      </c>
      <c r="U14" s="72" t="s">
        <v>156</v>
      </c>
      <c r="V14" s="72" t="s">
        <v>157</v>
      </c>
      <c r="W14" s="73" t="s">
        <v>166</v>
      </c>
      <c r="X14" s="73" t="s">
        <v>167</v>
      </c>
      <c r="Y14" s="74"/>
    </row>
    <row r="15" spans="1:25" ht="15" x14ac:dyDescent="0.3">
      <c r="A15" s="36">
        <v>1</v>
      </c>
      <c r="B15" s="35" t="str">
        <f>IFERROR(VLOOKUP(A15,Calculations!$A$21:$AS$36,6,FALSE),"")</f>
        <v>Dave Page Starr</v>
      </c>
      <c r="C15" s="75" t="str">
        <f>IFERROR(VLOOKUP(A15,Calculations!$A$21:$AS$36,7,FALSE),"")</f>
        <v/>
      </c>
      <c r="D15" s="75" t="str">
        <f>IFERROR(VLOOKUP(A15,Calculations!$A$21:$AS$36,8,FALSE),"")</f>
        <v>A</v>
      </c>
      <c r="E15" s="75" t="str">
        <f>IFERROR(VLOOKUP(A15,Calculations!$A$21:$AS$36,11,FALSE),"")</f>
        <v>PCP</v>
      </c>
      <c r="F15" s="75" t="str">
        <f>IFERROR(VLOOKUP(A15,Calculations!$A$21:$AS$36,12,FALSE),"")</f>
        <v>Weston Warrior</v>
      </c>
      <c r="G15" s="76">
        <f>IFERROR(VLOOKUP(A15,Calculations!$A$21:$AS$36,14,FALSE),"")</f>
        <v>34</v>
      </c>
      <c r="H15" s="76">
        <f>IFERROR(VLOOKUP(A15,Calculations!$A$21:$AS$36,15,FALSE),"")</f>
        <v>29</v>
      </c>
      <c r="I15" s="76">
        <f>IFERROR(VLOOKUP(A15,Calculations!$A$21:$AS$36,16,FALSE),"")</f>
        <v>34</v>
      </c>
      <c r="J15" s="76">
        <f>IFERROR(VLOOKUP(A15,Calculations!$A$21:$AS$36,17,FALSE),"")</f>
        <v>32</v>
      </c>
      <c r="K15" s="76">
        <f>IFERROR(VLOOKUP(A15,Calculations!$A$21:$AS$36,18,FALSE),"")</f>
        <v>37</v>
      </c>
      <c r="L15" s="76">
        <f>IFERROR(VLOOKUP(A15,Calculations!$A$21:$AS$36,19,FALSE),"")</f>
        <v>34</v>
      </c>
      <c r="M15" s="76" t="str">
        <f>IFERROR(VLOOKUP(A15,Calculations!$A$21:$AS$36,20,FALSE),"")</f>
        <v/>
      </c>
      <c r="N15" s="76" t="str">
        <f>IFERROR(VLOOKUP(A15,Calculations!$A$21:$AS$36,21,FALSE),"")</f>
        <v/>
      </c>
      <c r="O15" s="77">
        <f>IFERROR(VLOOKUP(A15,Calculations!$A$21:$AS$36,22,FALSE),"")</f>
        <v>0.91891891891891897</v>
      </c>
      <c r="P15" s="77">
        <f>IFERROR(VLOOKUP(A15,Calculations!$A$21:$AS$36,23,FALSE),"")</f>
        <v>0.93548387096774188</v>
      </c>
      <c r="Q15" s="77">
        <f>IFERROR(VLOOKUP(A15,Calculations!$A$21:$AS$36,24,FALSE),"")</f>
        <v>0.91891891891891897</v>
      </c>
      <c r="R15" s="77">
        <f>IFERROR(VLOOKUP(A15,Calculations!$A$21:$AS$36,25,FALSE),"")</f>
        <v>0.88888888888888884</v>
      </c>
      <c r="S15" s="77">
        <f>IFERROR(VLOOKUP(A15,Calculations!$A$21:$AS$36,26,FALSE),"")</f>
        <v>0.97368421052631582</v>
      </c>
      <c r="T15" s="77">
        <f>IFERROR(VLOOKUP(A15,Calculations!$A$21:$AS$36,27,FALSE),"")</f>
        <v>0.91891891891891897</v>
      </c>
      <c r="U15" s="77" t="str">
        <f>IFERROR(VLOOKUP(A15,Calculations!$A$21:$AS$36,28,FALSE),"")</f>
        <v/>
      </c>
      <c r="V15" s="77" t="str">
        <f>IFERROR(VLOOKUP(A15,Calculations!$A$21:$AS$36,29,FALSE),"")</f>
        <v/>
      </c>
      <c r="W15" s="58">
        <f>IFERROR(VLOOKUP(A15,Calculations!$A$21:$AS$36,30,FALSE),"")</f>
        <v>6</v>
      </c>
      <c r="X15" s="55">
        <f>IFERROR(VLOOKUP(A15,Calculations!$A$21:$AS$36,32,FALSE),"")</f>
        <v>0.93675147983297391</v>
      </c>
    </row>
    <row r="16" spans="1:25" ht="15" x14ac:dyDescent="0.3">
      <c r="A16" s="36">
        <v>2</v>
      </c>
      <c r="B16" s="35" t="str">
        <f>IFERROR(VLOOKUP(A16,Calculations!$A$21:$AS$36,6,FALSE),"")</f>
        <v>Clinton Bedding</v>
      </c>
      <c r="C16" s="75">
        <f>IFERROR(VLOOKUP(A16,Calculations!$A$17:$AS$36,7,FALSE),"")</f>
        <v>447</v>
      </c>
      <c r="D16" s="75" t="str">
        <f>IFERROR(VLOOKUP(A16,Calculations!$A$17:$AS$36,8,FALSE),"")</f>
        <v>A</v>
      </c>
      <c r="E16" s="75" t="str">
        <f>IFERROR(VLOOKUP(A16,Calculations!$A$17:$AS$36,11,FALSE),"")</f>
        <v>PCP</v>
      </c>
      <c r="F16" s="75" t="str">
        <f>IFERROR(VLOOKUP(A16,Calculations!$A$17:$AS$36,12,FALSE),"")</f>
        <v>Weston Warrior</v>
      </c>
      <c r="G16" s="76">
        <f>IFERROR(VLOOKUP(A16,Calculations!$A$21:$AS$36,14,FALSE),"")</f>
        <v>29</v>
      </c>
      <c r="H16" s="76">
        <f>IFERROR(VLOOKUP(A16,Calculations!$A$21:$AS$36,15,FALSE),"")</f>
        <v>24</v>
      </c>
      <c r="I16" s="76">
        <f>IFERROR(VLOOKUP(A16,Calculations!$A$21:$AS$36,16,FALSE),"")</f>
        <v>30</v>
      </c>
      <c r="J16" s="76">
        <f>IFERROR(VLOOKUP(A16,Calculations!$A$21:$AS$36,17,FALSE),"")</f>
        <v>29</v>
      </c>
      <c r="K16" s="76">
        <f>IFERROR(VLOOKUP(A16,Calculations!$A$21:$AS$36,18,FALSE),"")</f>
        <v>30</v>
      </c>
      <c r="L16" s="76">
        <f>IFERROR(VLOOKUP(A16,Calculations!$A$21:$AS$36,19,FALSE),"")</f>
        <v>30</v>
      </c>
      <c r="M16" s="76" t="str">
        <f>IFERROR(VLOOKUP(A16,Calculations!$A$21:$AS$36,20,FALSE),"")</f>
        <v/>
      </c>
      <c r="N16" s="76" t="str">
        <f>IFERROR(VLOOKUP(A16,Calculations!$A$21:$AS$36,21,FALSE),"")</f>
        <v/>
      </c>
      <c r="O16" s="77">
        <f>IFERROR(VLOOKUP(A16,Calculations!$A$21:$AS$36,22,FALSE),"")</f>
        <v>0.78378378378378377</v>
      </c>
      <c r="P16" s="77">
        <f>IFERROR(VLOOKUP(A16,Calculations!$A$21:$AS$36,23,FALSE),"")</f>
        <v>0.77419354838709675</v>
      </c>
      <c r="Q16" s="77">
        <f>IFERROR(VLOOKUP(A16,Calculations!$A$21:$AS$36,24,FALSE),"")</f>
        <v>0.81081081081081086</v>
      </c>
      <c r="R16" s="77">
        <f>IFERROR(VLOOKUP(A16,Calculations!$A$21:$AS$36,25,FALSE),"")</f>
        <v>0.80555555555555558</v>
      </c>
      <c r="S16" s="77">
        <f>IFERROR(VLOOKUP(A16,Calculations!$A$21:$AS$36,26,FALSE),"")</f>
        <v>0.78947368421052633</v>
      </c>
      <c r="T16" s="77">
        <f>IFERROR(VLOOKUP(A16,Calculations!$A$21:$AS$36,27,FALSE),"")</f>
        <v>0.81081081081081086</v>
      </c>
      <c r="U16" s="77" t="str">
        <f>IFERROR(VLOOKUP(A16,Calculations!$A$21:$AS$36,28,FALSE),"")</f>
        <v/>
      </c>
      <c r="V16" s="77" t="str">
        <f>IFERROR(VLOOKUP(A16,Calculations!$A$21:$AS$36,29,FALSE),"")</f>
        <v/>
      </c>
      <c r="W16" s="58">
        <f>IFERROR(VLOOKUP(A16,Calculations!$A$21:$AS$36,30,FALSE),"")</f>
        <v>6</v>
      </c>
      <c r="X16" s="55">
        <f>IFERROR(VLOOKUP(A16,Calculations!$A$21:$AS$36,32,FALSE),"")</f>
        <v>0.80416271534692596</v>
      </c>
    </row>
    <row r="17" spans="1:25" ht="15" x14ac:dyDescent="0.3">
      <c r="A17" s="36">
        <v>3</v>
      </c>
      <c r="B17" s="35" t="str">
        <f>IFERROR(VLOOKUP(A17,Calculations!$A$21:$AS$36,6,FALSE),"")</f>
        <v>Paul Somerville</v>
      </c>
      <c r="C17" s="75">
        <f>IFERROR(VLOOKUP(A17,Calculations!$A$17:$AS$36,7,FALSE),"")</f>
        <v>1881</v>
      </c>
      <c r="D17" s="75" t="str">
        <f>IFERROR(VLOOKUP(A17,Calculations!$A$17:$AS$36,8,FALSE),"")</f>
        <v>A</v>
      </c>
      <c r="E17" s="75" t="str">
        <f>IFERROR(VLOOKUP(A17,Calculations!$A$17:$AS$36,11,FALSE),"")</f>
        <v>PCP</v>
      </c>
      <c r="F17" s="75" t="str">
        <f>IFERROR(VLOOKUP(A17,Calculations!$A$17:$AS$36,12,FALSE),"")</f>
        <v>Meon</v>
      </c>
      <c r="G17" s="76">
        <f>IFERROR(VLOOKUP(A17,Calculations!$A$21:$AS$36,14,FALSE),"")</f>
        <v>28</v>
      </c>
      <c r="H17" s="76" t="str">
        <f>IFERROR(VLOOKUP(A17,Calculations!$A$21:$AS$36,15,FALSE),"")</f>
        <v/>
      </c>
      <c r="I17" s="76">
        <f>IFERROR(VLOOKUP(A17,Calculations!$A$21:$AS$36,16,FALSE),"")</f>
        <v>31</v>
      </c>
      <c r="J17" s="76" t="str">
        <f>IFERROR(VLOOKUP(A17,Calculations!$A$21:$AS$36,17,FALSE),"")</f>
        <v/>
      </c>
      <c r="K17" s="76" t="str">
        <f>IFERROR(VLOOKUP(A17,Calculations!$A$21:$AS$36,18,FALSE),"")</f>
        <v/>
      </c>
      <c r="L17" s="76" t="str">
        <f>IFERROR(VLOOKUP(A17,Calculations!$A$21:$AS$36,19,FALSE),"")</f>
        <v/>
      </c>
      <c r="M17" s="76" t="str">
        <f>IFERROR(VLOOKUP(A17,Calculations!$A$21:$AS$36,20,FALSE),"")</f>
        <v/>
      </c>
      <c r="N17" s="76" t="str">
        <f>IFERROR(VLOOKUP(A17,Calculations!$A$21:$AS$36,21,FALSE),"")</f>
        <v/>
      </c>
      <c r="O17" s="77">
        <f>IFERROR(VLOOKUP(A17,Calculations!$A$21:$AS$36,22,FALSE),"")</f>
        <v>0.7567567567567568</v>
      </c>
      <c r="P17" s="77" t="str">
        <f>IFERROR(VLOOKUP(A17,Calculations!$A$21:$AS$36,23,FALSE),"")</f>
        <v/>
      </c>
      <c r="Q17" s="77">
        <f>IFERROR(VLOOKUP(A17,Calculations!$A$21:$AS$36,24,FALSE),"")</f>
        <v>0.83783783783783783</v>
      </c>
      <c r="R17" s="77" t="str">
        <f>IFERROR(VLOOKUP(A17,Calculations!$A$21:$AS$36,25,FALSE),"")</f>
        <v/>
      </c>
      <c r="S17" s="77" t="str">
        <f>IFERROR(VLOOKUP(A17,Calculations!$A$21:$AS$36,26,FALSE),"")</f>
        <v/>
      </c>
      <c r="T17" s="77" t="str">
        <f>IFERROR(VLOOKUP(A17,Calculations!$A$21:$AS$36,27,FALSE),"")</f>
        <v/>
      </c>
      <c r="U17" s="77" t="str">
        <f>IFERROR(VLOOKUP(A17,Calculations!$A$21:$AS$36,28,FALSE),"")</f>
        <v/>
      </c>
      <c r="V17" s="77" t="str">
        <f>IFERROR(VLOOKUP(A17,Calculations!$A$21:$AS$36,29,FALSE),"")</f>
        <v/>
      </c>
      <c r="W17" s="58">
        <f>IFERROR(VLOOKUP(A17,Calculations!$A$21:$AS$36,30,FALSE),"")</f>
        <v>2</v>
      </c>
      <c r="X17" s="55">
        <f>IFERROR(VLOOKUP(A17,Calculations!$A$21:$AS$36,32,FALSE),"")</f>
        <v>0.79729729729729737</v>
      </c>
    </row>
    <row r="18" spans="1:25" ht="15" x14ac:dyDescent="0.3">
      <c r="A18" s="36">
        <v>4</v>
      </c>
      <c r="B18" s="35" t="str">
        <f>IFERROR(VLOOKUP(A18,Calculations!$A$21:$AS$36,6,FALSE),"")</f>
        <v>Andy Baxter</v>
      </c>
      <c r="C18" s="75">
        <f>IFERROR(VLOOKUP(A18,Calculations!$A$17:$AS$36,7,FALSE),"")</f>
        <v>1916</v>
      </c>
      <c r="D18" s="75" t="str">
        <f>IFERROR(VLOOKUP(A18,Calculations!$A$17:$AS$36,8,FALSE),"")</f>
        <v>A</v>
      </c>
      <c r="E18" s="75" t="str">
        <f>IFERROR(VLOOKUP(A18,Calculations!$A$17:$AS$36,11,FALSE),"")</f>
        <v>PCP</v>
      </c>
      <c r="F18" s="75" t="str">
        <f>IFERROR(VLOOKUP(A18,Calculations!$A$17:$AS$36,12,FALSE),"")</f>
        <v>Carisbrooke</v>
      </c>
      <c r="G18" s="76">
        <f>IFERROR(VLOOKUP(A18,Calculations!$A$21:$AS$36,14,FALSE),"")</f>
        <v>27</v>
      </c>
      <c r="H18" s="76">
        <f>IFERROR(VLOOKUP(A18,Calculations!$A$21:$AS$36,15,FALSE),"")</f>
        <v>26</v>
      </c>
      <c r="I18" s="76">
        <f>IFERROR(VLOOKUP(A18,Calculations!$A$21:$AS$36,16,FALSE),"")</f>
        <v>27</v>
      </c>
      <c r="J18" s="76">
        <f>IFERROR(VLOOKUP(A18,Calculations!$A$21:$AS$36,17,FALSE),"")</f>
        <v>23</v>
      </c>
      <c r="K18" s="76">
        <f>IFERROR(VLOOKUP(A18,Calculations!$A$21:$AS$36,18,FALSE),"")</f>
        <v>21</v>
      </c>
      <c r="L18" s="76">
        <f>IFERROR(VLOOKUP(A18,Calculations!$A$21:$AS$36,19,FALSE),"")</f>
        <v>28</v>
      </c>
      <c r="M18" s="76" t="str">
        <f>IFERROR(VLOOKUP(A18,Calculations!$A$21:$AS$36,20,FALSE),"")</f>
        <v/>
      </c>
      <c r="N18" s="76" t="str">
        <f>IFERROR(VLOOKUP(A18,Calculations!$A$21:$AS$36,21,FALSE),"")</f>
        <v/>
      </c>
      <c r="O18" s="77">
        <f>IFERROR(VLOOKUP(A18,Calculations!$A$21:$AS$36,22,FALSE),"")</f>
        <v>0.72972972972972971</v>
      </c>
      <c r="P18" s="77">
        <f>IFERROR(VLOOKUP(A18,Calculations!$A$21:$AS$36,23,FALSE),"")</f>
        <v>0.83870967741935487</v>
      </c>
      <c r="Q18" s="77">
        <f>IFERROR(VLOOKUP(A18,Calculations!$A$21:$AS$36,24,FALSE),"")</f>
        <v>0.72972972972972971</v>
      </c>
      <c r="R18" s="77">
        <f>IFERROR(VLOOKUP(A18,Calculations!$A$21:$AS$36,25,FALSE),"")</f>
        <v>0.63888888888888884</v>
      </c>
      <c r="S18" s="77">
        <f>IFERROR(VLOOKUP(A18,Calculations!$A$21:$AS$36,26,FALSE),"")</f>
        <v>0.55263157894736847</v>
      </c>
      <c r="T18" s="77">
        <f>IFERROR(VLOOKUP(A18,Calculations!$A$21:$AS$36,27,FALSE),"")</f>
        <v>0.7567567567567568</v>
      </c>
      <c r="U18" s="77" t="str">
        <f>IFERROR(VLOOKUP(A18,Calculations!$A$21:$AS$36,28,FALSE),"")</f>
        <v/>
      </c>
      <c r="V18" s="77" t="str">
        <f>IFERROR(VLOOKUP(A18,Calculations!$A$21:$AS$36,29,FALSE),"")</f>
        <v/>
      </c>
      <c r="W18" s="58">
        <f>IFERROR(VLOOKUP(A18,Calculations!$A$21:$AS$36,30,FALSE),"")</f>
        <v>6</v>
      </c>
      <c r="X18" s="55">
        <f>IFERROR(VLOOKUP(A18,Calculations!$A$21:$AS$36,32,FALSE),"")</f>
        <v>0.7637314734088928</v>
      </c>
    </row>
    <row r="19" spans="1:25" ht="15" x14ac:dyDescent="0.3">
      <c r="A19" s="36">
        <v>5</v>
      </c>
      <c r="B19" s="35" t="str">
        <f>IFERROR(VLOOKUP(A19,Calculations!$A$21:$AS$36,6,FALSE),"")</f>
        <v>Michael Woodhead</v>
      </c>
      <c r="C19" s="75">
        <f>IFERROR(VLOOKUP(A19,Calculations!$A$17:$AS$36,7,FALSE),"")</f>
        <v>59</v>
      </c>
      <c r="D19" s="75" t="str">
        <f>IFERROR(VLOOKUP(A19,Calculations!$A$17:$AS$36,8,FALSE),"")</f>
        <v>A</v>
      </c>
      <c r="E19" s="75" t="str">
        <f>IFERROR(VLOOKUP(A19,Calculations!$A$17:$AS$36,11,FALSE),"")</f>
        <v>PCP</v>
      </c>
      <c r="F19" s="75" t="str">
        <f>IFERROR(VLOOKUP(A19,Calculations!$A$17:$AS$36,12,FALSE),"")</f>
        <v>Frobury</v>
      </c>
      <c r="G19" s="76">
        <f>IFERROR(VLOOKUP(A19,Calculations!$A$21:$AS$36,14,FALSE),"")</f>
        <v>26</v>
      </c>
      <c r="H19" s="76">
        <f>IFERROR(VLOOKUP(A19,Calculations!$A$21:$AS$36,15,FALSE),"")</f>
        <v>26</v>
      </c>
      <c r="I19" s="76">
        <f>IFERROR(VLOOKUP(A19,Calculations!$A$21:$AS$36,16,FALSE),"")</f>
        <v>27</v>
      </c>
      <c r="J19" s="76">
        <f>IFERROR(VLOOKUP(A19,Calculations!$A$21:$AS$36,17,FALSE),"")</f>
        <v>23</v>
      </c>
      <c r="K19" s="76">
        <f>IFERROR(VLOOKUP(A19,Calculations!$A$21:$AS$36,18,FALSE),"")</f>
        <v>29</v>
      </c>
      <c r="L19" s="76">
        <f>IFERROR(VLOOKUP(A19,Calculations!$A$21:$AS$36,19,FALSE),"")</f>
        <v>25</v>
      </c>
      <c r="M19" s="76" t="str">
        <f>IFERROR(VLOOKUP(A19,Calculations!$A$21:$AS$36,20,FALSE),"")</f>
        <v/>
      </c>
      <c r="N19" s="76" t="str">
        <f>IFERROR(VLOOKUP(A19,Calculations!$A$21:$AS$36,21,FALSE),"")</f>
        <v/>
      </c>
      <c r="O19" s="77">
        <f>IFERROR(VLOOKUP(A19,Calculations!$A$21:$AS$36,22,FALSE),"")</f>
        <v>0.70270270270270274</v>
      </c>
      <c r="P19" s="77">
        <f>IFERROR(VLOOKUP(A19,Calculations!$A$21:$AS$36,23,FALSE),"")</f>
        <v>0.83870967741935487</v>
      </c>
      <c r="Q19" s="77">
        <f>IFERROR(VLOOKUP(A19,Calculations!$A$21:$AS$36,24,FALSE),"")</f>
        <v>0.72972972972972971</v>
      </c>
      <c r="R19" s="77">
        <f>IFERROR(VLOOKUP(A19,Calculations!$A$21:$AS$36,25,FALSE),"")</f>
        <v>0.63888888888888884</v>
      </c>
      <c r="S19" s="77">
        <f>IFERROR(VLOOKUP(A19,Calculations!$A$21:$AS$36,26,FALSE),"")</f>
        <v>0.76315789473684215</v>
      </c>
      <c r="T19" s="77">
        <f>IFERROR(VLOOKUP(A19,Calculations!$A$21:$AS$36,27,FALSE),"")</f>
        <v>0.67567567567567566</v>
      </c>
      <c r="U19" s="77" t="str">
        <f>IFERROR(VLOOKUP(A19,Calculations!$A$21:$AS$36,28,FALSE),"")</f>
        <v/>
      </c>
      <c r="V19" s="77" t="str">
        <f>IFERROR(VLOOKUP(A19,Calculations!$A$21:$AS$36,29,FALSE),"")</f>
        <v/>
      </c>
      <c r="W19" s="58">
        <f>IFERROR(VLOOKUP(A19,Calculations!$A$21:$AS$36,30,FALSE),"")</f>
        <v>6</v>
      </c>
      <c r="X19" s="55">
        <f>IFERROR(VLOOKUP(A19,Calculations!$A$21:$AS$36,32,FALSE),"")</f>
        <v>0.75857500114715737</v>
      </c>
    </row>
    <row r="20" spans="1:25" ht="15" x14ac:dyDescent="0.3">
      <c r="A20" s="36">
        <v>6</v>
      </c>
      <c r="B20" s="35" t="str">
        <f>IFERROR(VLOOKUP(A20,Calculations!$A$21:$AS$36,6,FALSE),"")</f>
        <v>Simon Young</v>
      </c>
      <c r="C20" s="75">
        <f>IFERROR(VLOOKUP(A20,Calculations!$A$17:$AS$36,7,FALSE),"")</f>
        <v>88</v>
      </c>
      <c r="D20" s="75" t="str">
        <f>IFERROR(VLOOKUP(A20,Calculations!$A$17:$AS$36,8,FALSE),"")</f>
        <v>A</v>
      </c>
      <c r="E20" s="75" t="str">
        <f>IFERROR(VLOOKUP(A20,Calculations!$A$17:$AS$36,11,FALSE),"")</f>
        <v>PCP</v>
      </c>
      <c r="F20" s="75" t="str">
        <f>IFERROR(VLOOKUP(A20,Calculations!$A$17:$AS$36,12,FALSE),"")</f>
        <v>Buccaneers</v>
      </c>
      <c r="G20" s="76" t="str">
        <f>IFERROR(VLOOKUP(A20,Calculations!$A$21:$AS$36,14,FALSE),"")</f>
        <v/>
      </c>
      <c r="H20" s="76">
        <f>IFERROR(VLOOKUP(A20,Calculations!$A$21:$AS$36,15,FALSE),"")</f>
        <v>17</v>
      </c>
      <c r="I20" s="76">
        <f>IFERROR(VLOOKUP(A20,Calculations!$A$21:$AS$36,16,FALSE),"")</f>
        <v>31</v>
      </c>
      <c r="J20" s="76">
        <f>IFERROR(VLOOKUP(A20,Calculations!$A$21:$AS$36,17,FALSE),"")</f>
        <v>27</v>
      </c>
      <c r="K20" s="76" t="str">
        <f>IFERROR(VLOOKUP(A20,Calculations!$A$21:$AS$36,18,FALSE),"")</f>
        <v/>
      </c>
      <c r="L20" s="76">
        <f>IFERROR(VLOOKUP(A20,Calculations!$A$21:$AS$36,19,FALSE),"")</f>
        <v>32</v>
      </c>
      <c r="M20" s="76" t="str">
        <f>IFERROR(VLOOKUP(A20,Calculations!$A$21:$AS$36,20,FALSE),"")</f>
        <v/>
      </c>
      <c r="N20" s="76" t="str">
        <f>IFERROR(VLOOKUP(A20,Calculations!$A$21:$AS$36,21,FALSE),"")</f>
        <v/>
      </c>
      <c r="O20" s="77" t="str">
        <f>IFERROR(VLOOKUP(A20,Calculations!$A$21:$AS$36,22,FALSE),"")</f>
        <v/>
      </c>
      <c r="P20" s="77">
        <f>IFERROR(VLOOKUP(A20,Calculations!$A$21:$AS$36,23,FALSE),"")</f>
        <v>0.54838709677419351</v>
      </c>
      <c r="Q20" s="77">
        <f>IFERROR(VLOOKUP(A20,Calculations!$A$21:$AS$36,24,FALSE),"")</f>
        <v>0.83783783783783783</v>
      </c>
      <c r="R20" s="77">
        <f>IFERROR(VLOOKUP(A20,Calculations!$A$21:$AS$36,25,FALSE),"")</f>
        <v>0.75</v>
      </c>
      <c r="S20" s="77" t="str">
        <f>IFERROR(VLOOKUP(A20,Calculations!$A$21:$AS$36,26,FALSE),"")</f>
        <v/>
      </c>
      <c r="T20" s="77">
        <f>IFERROR(VLOOKUP(A20,Calculations!$A$21:$AS$36,27,FALSE),"")</f>
        <v>0.86486486486486491</v>
      </c>
      <c r="U20" s="77" t="str">
        <f>IFERROR(VLOOKUP(A20,Calculations!$A$21:$AS$36,28,FALSE),"")</f>
        <v/>
      </c>
      <c r="V20" s="77" t="str">
        <f>IFERROR(VLOOKUP(A20,Calculations!$A$21:$AS$36,29,FALSE),"")</f>
        <v/>
      </c>
      <c r="W20" s="58">
        <f>IFERROR(VLOOKUP(A20,Calculations!$A$21:$AS$36,30,FALSE),"")</f>
        <v>4</v>
      </c>
      <c r="X20" s="55">
        <f>IFERROR(VLOOKUP(A20,Calculations!$A$21:$AS$36,32,FALSE),"")</f>
        <v>0.75027244986922403</v>
      </c>
    </row>
    <row r="21" spans="1:25" ht="15" hidden="1" x14ac:dyDescent="0.3">
      <c r="A21" s="36">
        <v>7</v>
      </c>
      <c r="B21" s="35" t="str">
        <f>IFERROR(VLOOKUP(A21,Calculations!$A$21:$AS$36,6,FALSE),"")</f>
        <v/>
      </c>
      <c r="C21" s="75" t="str">
        <f>IFERROR(VLOOKUP(A21,Calculations!$A$17:$AS$36,7,FALSE),"")</f>
        <v/>
      </c>
      <c r="D21" s="75" t="str">
        <f>IFERROR(VLOOKUP(A21,Calculations!$A$17:$AS$36,8,FALSE),"")</f>
        <v/>
      </c>
      <c r="E21" s="75" t="str">
        <f>IFERROR(VLOOKUP(A21,Calculations!$A$17:$AS$36,11,FALSE),"")</f>
        <v/>
      </c>
      <c r="F21" s="75" t="str">
        <f>IFERROR(VLOOKUP(A21,Calculations!$A$17:$AS$36,12,FALSE),"")</f>
        <v/>
      </c>
      <c r="G21" s="76" t="str">
        <f>IFERROR(VLOOKUP(A21,Calculations!$A$21:$AS$36,14,FALSE),"")</f>
        <v/>
      </c>
      <c r="H21" s="76" t="str">
        <f>IFERROR(VLOOKUP(A21,Calculations!$A$21:$AS$36,15,FALSE),"")</f>
        <v/>
      </c>
      <c r="I21" s="76" t="str">
        <f>IFERROR(VLOOKUP(A21,Calculations!$A$21:$AS$36,16,FALSE),"")</f>
        <v/>
      </c>
      <c r="J21" s="76" t="str">
        <f>IFERROR(VLOOKUP(A21,Calculations!$A$21:$AS$36,17,FALSE),"")</f>
        <v/>
      </c>
      <c r="K21" s="76" t="str">
        <f>IFERROR(VLOOKUP(A21,Calculations!$A$21:$AS$36,18,FALSE),"")</f>
        <v/>
      </c>
      <c r="L21" s="76" t="str">
        <f>IFERROR(VLOOKUP(A21,Calculations!$A$21:$AS$36,19,FALSE),"")</f>
        <v/>
      </c>
      <c r="M21" s="76" t="str">
        <f>IFERROR(VLOOKUP(A21,Calculations!$A$21:$AS$36,20,FALSE),"")</f>
        <v/>
      </c>
      <c r="N21" s="76" t="str">
        <f>IFERROR(VLOOKUP(A21,Calculations!$A$21:$AS$36,21,FALSE),"")</f>
        <v/>
      </c>
      <c r="O21" s="77" t="str">
        <f>IFERROR(VLOOKUP(A21,Calculations!$A$21:$AS$36,22,FALSE),"")</f>
        <v/>
      </c>
      <c r="P21" s="77" t="str">
        <f>IFERROR(VLOOKUP(A21,Calculations!$A$21:$AS$36,23,FALSE),"")</f>
        <v/>
      </c>
      <c r="Q21" s="77" t="str">
        <f>IFERROR(VLOOKUP(A21,Calculations!$A$21:$AS$36,24,FALSE),"")</f>
        <v/>
      </c>
      <c r="R21" s="77" t="str">
        <f>IFERROR(VLOOKUP(A21,Calculations!$A$21:$AS$36,25,FALSE),"")</f>
        <v/>
      </c>
      <c r="S21" s="77" t="str">
        <f>IFERROR(VLOOKUP(A21,Calculations!$A$21:$AS$36,26,FALSE),"")</f>
        <v/>
      </c>
      <c r="T21" s="77" t="str">
        <f>IFERROR(VLOOKUP(A21,Calculations!$A$21:$AS$36,27,FALSE),"")</f>
        <v/>
      </c>
      <c r="U21" s="77" t="str">
        <f>IFERROR(VLOOKUP(A21,Calculations!$A$21:$AS$36,28,FALSE),"")</f>
        <v/>
      </c>
      <c r="V21" s="77" t="str">
        <f>IFERROR(VLOOKUP(A21,Calculations!$A$21:$AS$36,29,FALSE),"")</f>
        <v/>
      </c>
      <c r="W21" s="58" t="str">
        <f>IFERROR(VLOOKUP(A21,Calculations!$A$21:$AS$36,30,FALSE),"")</f>
        <v/>
      </c>
      <c r="X21" s="55" t="str">
        <f>IFERROR(VLOOKUP(A21,Calculations!$A$21:$AS$36,31,FALSE),"")</f>
        <v/>
      </c>
    </row>
    <row r="22" spans="1:25" ht="15" hidden="1" x14ac:dyDescent="0.3">
      <c r="A22" s="36">
        <v>8</v>
      </c>
      <c r="B22" s="35" t="str">
        <f>IFERROR(VLOOKUP(A22,Calculations!$A$21:$AS$36,6,FALSE),"")</f>
        <v/>
      </c>
      <c r="C22" s="75" t="str">
        <f>IFERROR(VLOOKUP(A22,Calculations!$A$17:$AS$36,7,FALSE),"")</f>
        <v/>
      </c>
      <c r="D22" s="75" t="str">
        <f>IFERROR(VLOOKUP(A22,Calculations!$A$17:$AS$36,8,FALSE),"")</f>
        <v>AA</v>
      </c>
      <c r="E22" s="75" t="str">
        <f>IFERROR(VLOOKUP(A22,Calculations!$A$17:$AS$36,11,FALSE),"")</f>
        <v>Piston</v>
      </c>
      <c r="F22" s="75" t="str">
        <f>IFERROR(VLOOKUP(A22,Calculations!$A$17:$AS$36,12,FALSE),"")</f>
        <v>Weston Warrior</v>
      </c>
      <c r="G22" s="76" t="str">
        <f>IFERROR(VLOOKUP(A22,Calculations!$A$21:$AS$36,14,FALSE),"")</f>
        <v/>
      </c>
      <c r="H22" s="76" t="str">
        <f>IFERROR(VLOOKUP(A22,Calculations!$A$21:$AS$36,15,FALSE),"")</f>
        <v/>
      </c>
      <c r="I22" s="76" t="str">
        <f>IFERROR(VLOOKUP(A22,Calculations!$A$21:$AS$36,16,FALSE),"")</f>
        <v/>
      </c>
      <c r="J22" s="76" t="str">
        <f>IFERROR(VLOOKUP(A22,Calculations!$A$21:$AS$36,17,FALSE),"")</f>
        <v/>
      </c>
      <c r="K22" s="76" t="str">
        <f>IFERROR(VLOOKUP(A22,Calculations!$A$21:$AS$36,18,FALSE),"")</f>
        <v/>
      </c>
      <c r="L22" s="76" t="str">
        <f>IFERROR(VLOOKUP(A22,Calculations!$A$21:$AS$36,19,FALSE),"")</f>
        <v/>
      </c>
      <c r="M22" s="76" t="str">
        <f>IFERROR(VLOOKUP(A22,Calculations!$A$21:$AS$36,20,FALSE),"")</f>
        <v/>
      </c>
      <c r="N22" s="76" t="str">
        <f>IFERROR(VLOOKUP(A22,Calculations!$A$21:$AS$36,21,FALSE),"")</f>
        <v/>
      </c>
      <c r="O22" s="77" t="str">
        <f>IFERROR(VLOOKUP(A22,Calculations!$A$21:$AS$36,22,FALSE),"")</f>
        <v/>
      </c>
      <c r="P22" s="77" t="str">
        <f>IFERROR(VLOOKUP(A22,Calculations!$A$21:$AS$36,23,FALSE),"")</f>
        <v/>
      </c>
      <c r="Q22" s="77" t="str">
        <f>IFERROR(VLOOKUP(A22,Calculations!$A$21:$AS$36,24,FALSE),"")</f>
        <v/>
      </c>
      <c r="R22" s="77" t="str">
        <f>IFERROR(VLOOKUP(A22,Calculations!$A$21:$AS$36,25,FALSE),"")</f>
        <v/>
      </c>
      <c r="S22" s="77" t="str">
        <f>IFERROR(VLOOKUP(A22,Calculations!$A$21:$AS$36,26,FALSE),"")</f>
        <v/>
      </c>
      <c r="T22" s="77" t="str">
        <f>IFERROR(VLOOKUP(A22,Calculations!$A$21:$AS$36,27,FALSE),"")</f>
        <v/>
      </c>
      <c r="U22" s="77" t="str">
        <f>IFERROR(VLOOKUP(A22,Calculations!$A$21:$AS$36,28,FALSE),"")</f>
        <v/>
      </c>
      <c r="V22" s="77" t="str">
        <f>IFERROR(VLOOKUP(A22,Calculations!$A$21:$AS$36,29,FALSE),"")</f>
        <v/>
      </c>
      <c r="W22" s="58" t="str">
        <f>IFERROR(VLOOKUP(A22,Calculations!$A$21:$AS$36,30,FALSE),"")</f>
        <v/>
      </c>
      <c r="X22" s="55" t="str">
        <f>IFERROR(VLOOKUP(A22,Calculations!$A$21:$AS$36,31,FALSE),"")</f>
        <v/>
      </c>
    </row>
    <row r="23" spans="1:25" ht="15" hidden="1" x14ac:dyDescent="0.3">
      <c r="A23" s="36">
        <v>9</v>
      </c>
      <c r="B23" s="35" t="str">
        <f>IFERROR(VLOOKUP(A23,Calculations!$A$21:$AS$36,6,FALSE),"")</f>
        <v/>
      </c>
      <c r="C23" s="75" t="str">
        <f>IFERROR(VLOOKUP(A23,Calculations!$A$17:$AS$36,7,FALSE),"")</f>
        <v/>
      </c>
      <c r="D23" s="75" t="str">
        <f>IFERROR(VLOOKUP(A23,Calculations!$A$17:$AS$36,8,FALSE),"")</f>
        <v/>
      </c>
      <c r="E23" s="75" t="str">
        <f>IFERROR(VLOOKUP(A23,Calculations!$A$17:$AS$36,11,FALSE),"")</f>
        <v/>
      </c>
      <c r="F23" s="75" t="str">
        <f>IFERROR(VLOOKUP(A23,Calculations!$A$17:$AS$36,12,FALSE),"")</f>
        <v/>
      </c>
      <c r="G23" s="76" t="str">
        <f>IFERROR(VLOOKUP(A23,Calculations!$A$21:$AS$36,14,FALSE),"")</f>
        <v/>
      </c>
      <c r="H23" s="76" t="str">
        <f>IFERROR(VLOOKUP(A23,Calculations!$A$21:$AS$36,15,FALSE),"")</f>
        <v/>
      </c>
      <c r="I23" s="76" t="str">
        <f>IFERROR(VLOOKUP(A23,Calculations!$A$21:$AS$36,16,FALSE),"")</f>
        <v/>
      </c>
      <c r="J23" s="76" t="str">
        <f>IFERROR(VLOOKUP(A23,Calculations!$A$21:$AS$36,17,FALSE),"")</f>
        <v/>
      </c>
      <c r="K23" s="76" t="str">
        <f>IFERROR(VLOOKUP(A23,Calculations!$A$21:$AS$36,18,FALSE),"")</f>
        <v/>
      </c>
      <c r="L23" s="76" t="str">
        <f>IFERROR(VLOOKUP(A23,Calculations!$A$21:$AS$36,19,FALSE),"")</f>
        <v/>
      </c>
      <c r="M23" s="76" t="str">
        <f>IFERROR(VLOOKUP(A23,Calculations!$A$21:$AS$36,20,FALSE),"")</f>
        <v/>
      </c>
      <c r="N23" s="76" t="str">
        <f>IFERROR(VLOOKUP(A23,Calculations!$A$21:$AS$36,21,FALSE),"")</f>
        <v/>
      </c>
      <c r="O23" s="77" t="str">
        <f>IFERROR(VLOOKUP(A23,Calculations!$A$21:$AS$36,22,FALSE),"")</f>
        <v/>
      </c>
      <c r="P23" s="77" t="str">
        <f>IFERROR(VLOOKUP(A23,Calculations!$A$21:$AS$36,23,FALSE),"")</f>
        <v/>
      </c>
      <c r="Q23" s="77" t="str">
        <f>IFERROR(VLOOKUP(A23,Calculations!$A$21:$AS$36,24,FALSE),"")</f>
        <v/>
      </c>
      <c r="R23" s="77" t="str">
        <f>IFERROR(VLOOKUP(A23,Calculations!$A$21:$AS$36,25,FALSE),"")</f>
        <v/>
      </c>
      <c r="S23" s="77" t="str">
        <f>IFERROR(VLOOKUP(A23,Calculations!$A$21:$AS$36,26,FALSE),"")</f>
        <v/>
      </c>
      <c r="T23" s="77" t="str">
        <f>IFERROR(VLOOKUP(A23,Calculations!$A$21:$AS$36,27,FALSE),"")</f>
        <v/>
      </c>
      <c r="U23" s="77" t="str">
        <f>IFERROR(VLOOKUP(A23,Calculations!$A$21:$AS$36,28,FALSE),"")</f>
        <v/>
      </c>
      <c r="V23" s="77" t="str">
        <f>IFERROR(VLOOKUP(A23,Calculations!$A$21:$AS$36,29,FALSE),"")</f>
        <v/>
      </c>
      <c r="W23" s="58" t="str">
        <f>IFERROR(VLOOKUP(A23,Calculations!$A$21:$AS$36,30,FALSE),"")</f>
        <v/>
      </c>
      <c r="X23" s="55" t="str">
        <f>IFERROR(VLOOKUP(A23,Calculations!$A$21:$AS$36,31,FALSE),"")</f>
        <v/>
      </c>
    </row>
    <row r="24" spans="1:25" ht="15" hidden="1" x14ac:dyDescent="0.3">
      <c r="A24" s="36">
        <v>10</v>
      </c>
      <c r="B24" s="35" t="str">
        <f>IFERROR(VLOOKUP(A24,Calculations!$A$21:$AS$36,6,FALSE),"")</f>
        <v/>
      </c>
      <c r="C24" s="75" t="str">
        <f>IFERROR(VLOOKUP(A24,Calculations!$A$17:$AS$36,7,FALSE),"")</f>
        <v/>
      </c>
      <c r="D24" s="75" t="str">
        <f>IFERROR(VLOOKUP(A24,Calculations!$A$17:$AS$36,8,FALSE),"")</f>
        <v/>
      </c>
      <c r="E24" s="75" t="str">
        <f>IFERROR(VLOOKUP(A24,Calculations!$A$17:$AS$36,11,FALSE),"")</f>
        <v/>
      </c>
      <c r="F24" s="75" t="str">
        <f>IFERROR(VLOOKUP(A24,Calculations!$A$17:$AS$36,12,FALSE),"")</f>
        <v/>
      </c>
      <c r="G24" s="76" t="str">
        <f>IFERROR(VLOOKUP(A24,Calculations!$A$21:$AS$36,14,FALSE),"")</f>
        <v/>
      </c>
      <c r="H24" s="76" t="str">
        <f>IFERROR(VLOOKUP(A24,Calculations!$A$21:$AS$36,15,FALSE),"")</f>
        <v/>
      </c>
      <c r="I24" s="76" t="str">
        <f>IFERROR(VLOOKUP(A24,Calculations!$A$21:$AS$36,16,FALSE),"")</f>
        <v/>
      </c>
      <c r="J24" s="76" t="str">
        <f>IFERROR(VLOOKUP(A24,Calculations!$A$21:$AS$36,17,FALSE),"")</f>
        <v/>
      </c>
      <c r="K24" s="76" t="str">
        <f>IFERROR(VLOOKUP(A24,Calculations!$A$21:$AS$36,18,FALSE),"")</f>
        <v/>
      </c>
      <c r="L24" s="76" t="str">
        <f>IFERROR(VLOOKUP(A24,Calculations!$A$21:$AS$36,19,FALSE),"")</f>
        <v/>
      </c>
      <c r="M24" s="76" t="str">
        <f>IFERROR(VLOOKUP(A24,Calculations!$A$21:$AS$36,20,FALSE),"")</f>
        <v/>
      </c>
      <c r="N24" s="76" t="str">
        <f>IFERROR(VLOOKUP(A24,Calculations!$A$21:$AS$36,21,FALSE),"")</f>
        <v/>
      </c>
      <c r="O24" s="77" t="str">
        <f>IFERROR(VLOOKUP(A24,Calculations!$A$21:$AS$36,22,FALSE),"")</f>
        <v/>
      </c>
      <c r="P24" s="77" t="str">
        <f>IFERROR(VLOOKUP(A24,Calculations!$A$21:$AS$36,23,FALSE),"")</f>
        <v/>
      </c>
      <c r="Q24" s="77" t="str">
        <f>IFERROR(VLOOKUP(A24,Calculations!$A$21:$AS$36,24,FALSE),"")</f>
        <v/>
      </c>
      <c r="R24" s="77" t="str">
        <f>IFERROR(VLOOKUP(A24,Calculations!$A$21:$AS$36,25,FALSE),"")</f>
        <v/>
      </c>
      <c r="S24" s="77" t="str">
        <f>IFERROR(VLOOKUP(A24,Calculations!$A$21:$AS$36,26,FALSE),"")</f>
        <v/>
      </c>
      <c r="T24" s="77" t="str">
        <f>IFERROR(VLOOKUP(A24,Calculations!$A$21:$AS$36,27,FALSE),"")</f>
        <v/>
      </c>
      <c r="U24" s="77" t="str">
        <f>IFERROR(VLOOKUP(A24,Calculations!$A$21:$AS$36,28,FALSE),"")</f>
        <v/>
      </c>
      <c r="V24" s="77" t="str">
        <f>IFERROR(VLOOKUP(A24,Calculations!$A$21:$AS$36,29,FALSE),"")</f>
        <v/>
      </c>
      <c r="W24" s="58" t="str">
        <f>IFERROR(VLOOKUP(A24,Calculations!$A$21:$AS$36,30,FALSE),"")</f>
        <v/>
      </c>
      <c r="X24" s="55" t="str">
        <f>IFERROR(VLOOKUP(A24,Calculations!$A$21:$AS$36,31,FALSE),"")</f>
        <v/>
      </c>
    </row>
    <row r="25" spans="1:25" ht="27" customHeight="1" x14ac:dyDescent="0.3">
      <c r="A25" s="128" t="s">
        <v>198</v>
      </c>
      <c r="B25" s="70" t="s">
        <v>0</v>
      </c>
      <c r="C25" s="70" t="s">
        <v>1</v>
      </c>
      <c r="D25" s="70" t="s">
        <v>2</v>
      </c>
      <c r="E25" s="70" t="s">
        <v>3</v>
      </c>
      <c r="F25" s="70" t="s">
        <v>4</v>
      </c>
      <c r="G25" s="71" t="s">
        <v>150</v>
      </c>
      <c r="H25" s="71" t="s">
        <v>151</v>
      </c>
      <c r="I25" s="71" t="s">
        <v>152</v>
      </c>
      <c r="J25" s="71" t="s">
        <v>153</v>
      </c>
      <c r="K25" s="71" t="s">
        <v>154</v>
      </c>
      <c r="L25" s="71" t="s">
        <v>155</v>
      </c>
      <c r="M25" s="71" t="s">
        <v>156</v>
      </c>
      <c r="N25" s="71" t="s">
        <v>157</v>
      </c>
      <c r="O25" s="72" t="s">
        <v>150</v>
      </c>
      <c r="P25" s="72" t="s">
        <v>151</v>
      </c>
      <c r="Q25" s="72" t="s">
        <v>152</v>
      </c>
      <c r="R25" s="72" t="s">
        <v>153</v>
      </c>
      <c r="S25" s="72" t="s">
        <v>154</v>
      </c>
      <c r="T25" s="72" t="s">
        <v>155</v>
      </c>
      <c r="U25" s="72" t="s">
        <v>156</v>
      </c>
      <c r="V25" s="72" t="s">
        <v>157</v>
      </c>
      <c r="W25" s="73" t="s">
        <v>166</v>
      </c>
      <c r="X25" s="73" t="s">
        <v>167</v>
      </c>
      <c r="Y25" s="74"/>
    </row>
    <row r="26" spans="1:25" ht="15" x14ac:dyDescent="0.3">
      <c r="A26" s="36">
        <v>1</v>
      </c>
      <c r="B26" s="35" t="str">
        <f>IFERROR(VLOOKUP(A26,Calculations!$A$37:$AS$65,6,FALSE),"")</f>
        <v>Stuart Noakes</v>
      </c>
      <c r="C26" s="75">
        <f>IFERROR(VLOOKUP(A26,Calculations!$A$37:$AS$65,7,FALSE),"")</f>
        <v>1888</v>
      </c>
      <c r="D26" s="75" t="str">
        <f>IFERROR(VLOOKUP(A26,Calculations!$A$37:$AS$65,8,FALSE),"")</f>
        <v>B</v>
      </c>
      <c r="E26" s="75" t="str">
        <f>IFERROR(VLOOKUP(A26,Calculations!$A$37:$AS$65,11,FALSE),"")</f>
        <v>PCP</v>
      </c>
      <c r="F26" s="75" t="str">
        <f>IFERROR(VLOOKUP(A26,Calculations!$A$37:$AS$65,12,FALSE),"")</f>
        <v>Frobury</v>
      </c>
      <c r="G26" s="76">
        <f>IFERROR(VLOOKUP(A26,Calculations!$A$37:$AS$65,14,FALSE),"")</f>
        <v>29</v>
      </c>
      <c r="H26" s="76">
        <f>IFERROR(VLOOKUP(A26,Calculations!$A$37:$AS$65,15,FALSE),"")</f>
        <v>17</v>
      </c>
      <c r="I26" s="76">
        <f>IFERROR(VLOOKUP(A26,Calculations!$A$37:$AS$65,16,FALSE),"")</f>
        <v>28</v>
      </c>
      <c r="J26" s="76">
        <f>IFERROR(VLOOKUP(A26,Calculations!$A$37:$AS$65,17,FALSE),"")</f>
        <v>31</v>
      </c>
      <c r="K26" s="76">
        <f>IFERROR(VLOOKUP(A26,Calculations!$A$37:$AS$65,18,FALSE),"")</f>
        <v>31</v>
      </c>
      <c r="L26" s="76">
        <f>IFERROR(VLOOKUP(A26,Calculations!$A$37:$AS$65,19,FALSE),"")</f>
        <v>35</v>
      </c>
      <c r="M26" s="76" t="str">
        <f>IFERROR(VLOOKUP(A26,Calculations!$A$37:$AS$65,20,FALSE),"")</f>
        <v/>
      </c>
      <c r="N26" s="76" t="str">
        <f>IFERROR(VLOOKUP(A26,Calculations!$A$37:$AS$65,21,FALSE),"")</f>
        <v/>
      </c>
      <c r="O26" s="77">
        <f>IFERROR(VLOOKUP(A26,Calculations!$A$37:$AS$65,22,FALSE),"")</f>
        <v>0.78378378378378377</v>
      </c>
      <c r="P26" s="77">
        <f>IFERROR(VLOOKUP(A26,Calculations!$A$37:$AS$65,23,FALSE),"")</f>
        <v>0.54838709677419351</v>
      </c>
      <c r="Q26" s="77">
        <f>IFERROR(VLOOKUP(A26,Calculations!$A$37:$AS$65,24,FALSE),"")</f>
        <v>0.7567567567567568</v>
      </c>
      <c r="R26" s="77">
        <f>IFERROR(VLOOKUP(A26,Calculations!$A$37:$AS$65,25,FALSE),"")</f>
        <v>0.86111111111111116</v>
      </c>
      <c r="S26" s="77">
        <f>IFERROR(VLOOKUP(A26,Calculations!$A$37:$AS$65,26,FALSE),"")</f>
        <v>0.81578947368421051</v>
      </c>
      <c r="T26" s="77">
        <f>IFERROR(VLOOKUP(A26,Calculations!$A$37:$AS$65,27,FALSE),"")</f>
        <v>0.94594594594594594</v>
      </c>
      <c r="U26" s="77" t="str">
        <f>IFERROR(VLOOKUP(A26,Calculations!$A$37:$AS$65,28,FALSE),"")</f>
        <v/>
      </c>
      <c r="V26" s="77" t="str">
        <f>IFERROR(VLOOKUP(A26,Calculations!$A$37:$AS$65,29,FALSE),"")</f>
        <v/>
      </c>
      <c r="W26" s="58">
        <f>IFERROR(VLOOKUP(A26,Calculations!$A$37:$AS$65,30,FALSE),"")</f>
        <v>6</v>
      </c>
      <c r="X26" s="55">
        <f>IFERROR(VLOOKUP(A26,Calculations!$A$37:$AS$65,32,FALSE),"")</f>
        <v>0.8516575786312629</v>
      </c>
    </row>
    <row r="27" spans="1:25" ht="15" x14ac:dyDescent="0.3">
      <c r="A27" s="36">
        <v>2</v>
      </c>
      <c r="B27" s="35" t="str">
        <f>IFERROR(VLOOKUP(A27,Calculations!$A$37:$AS$65,6,FALSE),"")</f>
        <v>Trevor Turner</v>
      </c>
      <c r="C27" s="75">
        <f>IFERROR(VLOOKUP(A27,Calculations!$A$37:$AS$65,7,FALSE),"")</f>
        <v>1918</v>
      </c>
      <c r="D27" s="75" t="str">
        <f>IFERROR(VLOOKUP(A27,Calculations!$A$37:$AS$65,8,FALSE),"")</f>
        <v>B</v>
      </c>
      <c r="E27" s="75" t="str">
        <f>IFERROR(VLOOKUP(A27,Calculations!$A$37:$AS$65,11,FALSE),"")</f>
        <v>PCP</v>
      </c>
      <c r="F27" s="75" t="str">
        <f>IFERROR(VLOOKUP(A27,Calculations!$A$37:$AS$65,12,FALSE),"")</f>
        <v>Carisbrooke</v>
      </c>
      <c r="G27" s="76" t="str">
        <f>IFERROR(VLOOKUP(A27,Calculations!$A$37:$AS$65,14,FALSE),"")</f>
        <v/>
      </c>
      <c r="H27" s="76">
        <f>IFERROR(VLOOKUP(A27,Calculations!$A$37:$AS$65,15,FALSE),"")</f>
        <v>25</v>
      </c>
      <c r="I27" s="76">
        <f>IFERROR(VLOOKUP(A27,Calculations!$A$37:$AS$65,16,FALSE),"")</f>
        <v>29</v>
      </c>
      <c r="J27" s="76">
        <f>IFERROR(VLOOKUP(A27,Calculations!$A$37:$AS$65,17,FALSE),"")</f>
        <v>26</v>
      </c>
      <c r="K27" s="76">
        <f>IFERROR(VLOOKUP(A27,Calculations!$A$37:$AS$65,18,FALSE),"")</f>
        <v>34</v>
      </c>
      <c r="L27" s="76">
        <f>IFERROR(VLOOKUP(A27,Calculations!$A$37:$AS$65,19,FALSE),"")</f>
        <v>29</v>
      </c>
      <c r="M27" s="76" t="str">
        <f>IFERROR(VLOOKUP(A27,Calculations!$A$37:$AS$65,20,FALSE),"")</f>
        <v/>
      </c>
      <c r="N27" s="76" t="str">
        <f>IFERROR(VLOOKUP(A27,Calculations!$A$37:$AS$65,21,FALSE),"")</f>
        <v/>
      </c>
      <c r="O27" s="77" t="str">
        <f>IFERROR(VLOOKUP(A27,Calculations!$A$37:$AS$65,22,FALSE),"")</f>
        <v/>
      </c>
      <c r="P27" s="77">
        <f>IFERROR(VLOOKUP(A27,Calculations!$A$37:$AS$65,23,FALSE),"")</f>
        <v>0.80645161290322576</v>
      </c>
      <c r="Q27" s="77">
        <f>IFERROR(VLOOKUP(A27,Calculations!$A$37:$AS$65,24,FALSE),"")</f>
        <v>0.78378378378378377</v>
      </c>
      <c r="R27" s="77">
        <f>IFERROR(VLOOKUP(A27,Calculations!$A$37:$AS$65,25,FALSE),"")</f>
        <v>0.72222222222222221</v>
      </c>
      <c r="S27" s="77">
        <f>IFERROR(VLOOKUP(A27,Calculations!$A$37:$AS$65,26,FALSE),"")</f>
        <v>0.89473684210526316</v>
      </c>
      <c r="T27" s="77">
        <f>IFERROR(VLOOKUP(A27,Calculations!$A$37:$AS$65,27,FALSE),"")</f>
        <v>0.78378378378378377</v>
      </c>
      <c r="U27" s="77" t="str">
        <f>IFERROR(VLOOKUP(A27,Calculations!$A$37:$AS$65,28,FALSE),"")</f>
        <v/>
      </c>
      <c r="V27" s="77" t="str">
        <f>IFERROR(VLOOKUP(A27,Calculations!$A$37:$AS$65,29,FALSE),"")</f>
        <v/>
      </c>
      <c r="W27" s="58">
        <f>IFERROR(VLOOKUP(A27,Calculations!$A$37:$AS$65,30,FALSE),"")</f>
        <v>5</v>
      </c>
      <c r="X27" s="55">
        <f>IFERROR(VLOOKUP(A27,Calculations!$A$37:$AS$65,32,FALSE),"")</f>
        <v>0.81718900564401409</v>
      </c>
    </row>
    <row r="28" spans="1:25" ht="15" x14ac:dyDescent="0.3">
      <c r="A28" s="36">
        <v>3</v>
      </c>
      <c r="B28" s="35" t="str">
        <f>IFERROR(VLOOKUP(A28,Calculations!$A$37:$AS$65,6,FALSE),"")</f>
        <v>Charlene Summerfield</v>
      </c>
      <c r="C28" s="75">
        <f>IFERROR(VLOOKUP(A28,Calculations!$A$37:$AS$65,7,FALSE),"")</f>
        <v>1914</v>
      </c>
      <c r="D28" s="75" t="str">
        <f>IFERROR(VLOOKUP(A28,Calculations!$A$37:$AS$65,8,FALSE),"")</f>
        <v>B</v>
      </c>
      <c r="E28" s="75" t="str">
        <f>IFERROR(VLOOKUP(A28,Calculations!$A$37:$AS$65,11,FALSE),"")</f>
        <v>PCP</v>
      </c>
      <c r="F28" s="75" t="str">
        <f>IFERROR(VLOOKUP(A28,Calculations!$A$37:$AS$65,12,FALSE),"")</f>
        <v>Carisbrooke</v>
      </c>
      <c r="G28" s="76">
        <f>IFERROR(VLOOKUP(A28,Calculations!$A$37:$AS$65,14,FALSE),"")</f>
        <v>28</v>
      </c>
      <c r="H28" s="76">
        <f>IFERROR(VLOOKUP(A28,Calculations!$A$37:$AS$65,15,FALSE),"")</f>
        <v>18</v>
      </c>
      <c r="I28" s="76">
        <f>IFERROR(VLOOKUP(A28,Calculations!$A$37:$AS$65,16,FALSE),"")</f>
        <v>27</v>
      </c>
      <c r="J28" s="76">
        <f>IFERROR(VLOOKUP(A28,Calculations!$A$37:$AS$65,17,FALSE),"")</f>
        <v>29</v>
      </c>
      <c r="K28" s="76">
        <f>IFERROR(VLOOKUP(A28,Calculations!$A$37:$AS$65,18,FALSE),"")</f>
        <v>31</v>
      </c>
      <c r="L28" s="76">
        <f>IFERROR(VLOOKUP(A28,Calculations!$A$37:$AS$65,19,FALSE),"")</f>
        <v>27</v>
      </c>
      <c r="M28" s="76" t="str">
        <f>IFERROR(VLOOKUP(A28,Calculations!$A$37:$AS$65,20,FALSE),"")</f>
        <v/>
      </c>
      <c r="N28" s="76" t="str">
        <f>IFERROR(VLOOKUP(A28,Calculations!$A$37:$AS$65,21,FALSE),"")</f>
        <v/>
      </c>
      <c r="O28" s="77">
        <f>IFERROR(VLOOKUP(A28,Calculations!$A$37:$AS$65,22,FALSE),"")</f>
        <v>0.7567567567567568</v>
      </c>
      <c r="P28" s="77">
        <f>IFERROR(VLOOKUP(A28,Calculations!$A$37:$AS$65,23,FALSE),"")</f>
        <v>0.58064516129032262</v>
      </c>
      <c r="Q28" s="77">
        <f>IFERROR(VLOOKUP(A28,Calculations!$A$37:$AS$65,24,FALSE),"")</f>
        <v>0.72972972972972971</v>
      </c>
      <c r="R28" s="77">
        <f>IFERROR(VLOOKUP(A28,Calculations!$A$37:$AS$65,25,FALSE),"")</f>
        <v>0.80555555555555558</v>
      </c>
      <c r="S28" s="77">
        <f>IFERROR(VLOOKUP(A28,Calculations!$A$37:$AS$65,26,FALSE),"")</f>
        <v>0.81578947368421051</v>
      </c>
      <c r="T28" s="77">
        <f>IFERROR(VLOOKUP(A28,Calculations!$A$37:$AS$65,27,FALSE),"")</f>
        <v>0.72972972972972971</v>
      </c>
      <c r="U28" s="77" t="str">
        <f>IFERROR(VLOOKUP(A28,Calculations!$A$37:$AS$65,28,FALSE),"")</f>
        <v/>
      </c>
      <c r="V28" s="77" t="str">
        <f>IFERROR(VLOOKUP(A28,Calculations!$A$37:$AS$65,29,FALSE),"")</f>
        <v/>
      </c>
      <c r="W28" s="58">
        <f>IFERROR(VLOOKUP(A28,Calculations!$A$37:$AS$65,30,FALSE),"")</f>
        <v>6</v>
      </c>
      <c r="X28" s="55">
        <f>IFERROR(VLOOKUP(A28,Calculations!$A$37:$AS$65,32,FALSE),"")</f>
        <v>0.77695787893156321</v>
      </c>
    </row>
    <row r="29" spans="1:25" ht="15" x14ac:dyDescent="0.3">
      <c r="A29" s="36">
        <v>4</v>
      </c>
      <c r="B29" s="35" t="str">
        <f>IFERROR(VLOOKUP(A29,Calculations!$A$37:$AS$65,6,FALSE),"")</f>
        <v>Geoff Ames</v>
      </c>
      <c r="C29" s="75">
        <f>IFERROR(VLOOKUP(A29,Calculations!$A$37:$AS$65,7,FALSE),"")</f>
        <v>1301</v>
      </c>
      <c r="D29" s="75" t="str">
        <f>IFERROR(VLOOKUP(A29,Calculations!$A$37:$AS$65,8,FALSE),"")</f>
        <v>B</v>
      </c>
      <c r="E29" s="75" t="str">
        <f>IFERROR(VLOOKUP(A29,Calculations!$A$37:$AS$65,11,FALSE),"")</f>
        <v>PCP</v>
      </c>
      <c r="F29" s="75" t="str">
        <f>IFERROR(VLOOKUP(A29,Calculations!$A$37:$AS$65,12,FALSE),"")</f>
        <v>Buccaneers</v>
      </c>
      <c r="G29" s="76" t="str">
        <f>IFERROR(VLOOKUP(A29,Calculations!$A$37:$AS$65,14,FALSE),"")</f>
        <v/>
      </c>
      <c r="H29" s="76">
        <f>IFERROR(VLOOKUP(A29,Calculations!$A$37:$AS$65,15,FALSE),"")</f>
        <v>25</v>
      </c>
      <c r="I29" s="76">
        <f>IFERROR(VLOOKUP(A29,Calculations!$A$37:$AS$65,16,FALSE),"")</f>
        <v>22</v>
      </c>
      <c r="J29" s="76">
        <f>IFERROR(VLOOKUP(A29,Calculations!$A$37:$AS$65,17,FALSE),"")</f>
        <v>28</v>
      </c>
      <c r="K29" s="76">
        <f>IFERROR(VLOOKUP(A29,Calculations!$A$37:$AS$65,18,FALSE),"")</f>
        <v>27</v>
      </c>
      <c r="L29" s="76">
        <f>IFERROR(VLOOKUP(A29,Calculations!$A$37:$AS$65,19,FALSE),"")</f>
        <v>29</v>
      </c>
      <c r="M29" s="76" t="str">
        <f>IFERROR(VLOOKUP(A29,Calculations!$A$37:$AS$65,20,FALSE),"")</f>
        <v/>
      </c>
      <c r="N29" s="76" t="str">
        <f>IFERROR(VLOOKUP(A29,Calculations!$A$37:$AS$65,21,FALSE),"")</f>
        <v/>
      </c>
      <c r="O29" s="77" t="str">
        <f>IFERROR(VLOOKUP(A29,Calculations!$A$37:$AS$65,22,FALSE),"")</f>
        <v/>
      </c>
      <c r="P29" s="77">
        <f>IFERROR(VLOOKUP(A29,Calculations!$A$37:$AS$65,23,FALSE),"")</f>
        <v>0.80645161290322576</v>
      </c>
      <c r="Q29" s="77">
        <f>IFERROR(VLOOKUP(A29,Calculations!$A$37:$AS$65,24,FALSE),"")</f>
        <v>0.59459459459459463</v>
      </c>
      <c r="R29" s="77">
        <f>IFERROR(VLOOKUP(A29,Calculations!$A$37:$AS$65,25,FALSE),"")</f>
        <v>0.77777777777777779</v>
      </c>
      <c r="S29" s="77">
        <f>IFERROR(VLOOKUP(A29,Calculations!$A$37:$AS$65,26,FALSE),"")</f>
        <v>0.71052631578947367</v>
      </c>
      <c r="T29" s="77">
        <f>IFERROR(VLOOKUP(A29,Calculations!$A$37:$AS$65,27,FALSE),"")</f>
        <v>0.78378378378378377</v>
      </c>
      <c r="U29" s="77" t="str">
        <f>IFERROR(VLOOKUP(A29,Calculations!$A$37:$AS$65,28,FALSE),"")</f>
        <v/>
      </c>
      <c r="V29" s="77" t="str">
        <f>IFERROR(VLOOKUP(A29,Calculations!$A$37:$AS$65,29,FALSE),"")</f>
        <v/>
      </c>
      <c r="W29" s="58">
        <f>IFERROR(VLOOKUP(A29,Calculations!$A$37:$AS$65,30,FALSE),"")</f>
        <v>5</v>
      </c>
      <c r="X29" s="55">
        <f>IFERROR(VLOOKUP(A29,Calculations!$A$37:$AS$65,32,FALSE),"")</f>
        <v>0.76963487256356533</v>
      </c>
    </row>
    <row r="30" spans="1:25" ht="15" x14ac:dyDescent="0.3">
      <c r="A30" s="36">
        <v>5</v>
      </c>
      <c r="B30" s="35" t="str">
        <f>IFERROR(VLOOKUP(A30,Calculations!$A$37:$AS$65,6,FALSE),"")</f>
        <v>Andy Winch</v>
      </c>
      <c r="C30" s="75">
        <f>IFERROR(VLOOKUP(A30,Calculations!$A$37:$AS$65,7,FALSE),"")</f>
        <v>93</v>
      </c>
      <c r="D30" s="75" t="str">
        <f>IFERROR(VLOOKUP(A30,Calculations!$A$37:$AS$65,8,FALSE),"")</f>
        <v>B</v>
      </c>
      <c r="E30" s="75" t="str">
        <f>IFERROR(VLOOKUP(A30,Calculations!$A$37:$AS$65,11,FALSE),"")</f>
        <v>PCP</v>
      </c>
      <c r="F30" s="75" t="str">
        <f>IFERROR(VLOOKUP(A30,Calculations!$A$37:$AS$65,12,FALSE),"")</f>
        <v>Carisbrooke</v>
      </c>
      <c r="G30" s="76">
        <f>IFERROR(VLOOKUP(A30,Calculations!$A$37:$AS$65,14,FALSE),"")</f>
        <v>28</v>
      </c>
      <c r="H30" s="76">
        <f>IFERROR(VLOOKUP(A30,Calculations!$A$37:$AS$65,15,FALSE),"")</f>
        <v>26</v>
      </c>
      <c r="I30" s="76" t="str">
        <f>IFERROR(VLOOKUP(A30,Calculations!$A$37:$AS$65,16,FALSE),"")</f>
        <v/>
      </c>
      <c r="J30" s="76">
        <f>IFERROR(VLOOKUP(A30,Calculations!$A$37:$AS$65,17,FALSE),"")</f>
        <v>23</v>
      </c>
      <c r="K30" s="76" t="str">
        <f>IFERROR(VLOOKUP(A30,Calculations!$A$37:$AS$65,18,FALSE),"")</f>
        <v/>
      </c>
      <c r="L30" s="76">
        <f>IFERROR(VLOOKUP(A30,Calculations!$A$37:$AS$65,19,FALSE),"")</f>
        <v>31</v>
      </c>
      <c r="M30" s="76" t="str">
        <f>IFERROR(VLOOKUP(A30,Calculations!$A$37:$AS$65,20,FALSE),"")</f>
        <v/>
      </c>
      <c r="N30" s="76" t="str">
        <f>IFERROR(VLOOKUP(A30,Calculations!$A$37:$AS$65,21,FALSE),"")</f>
        <v/>
      </c>
      <c r="O30" s="77">
        <f>IFERROR(VLOOKUP(A30,Calculations!$A$37:$AS$65,22,FALSE),"")</f>
        <v>0.7567567567567568</v>
      </c>
      <c r="P30" s="77">
        <f>IFERROR(VLOOKUP(A30,Calculations!$A$37:$AS$65,23,FALSE),"")</f>
        <v>0.83870967741935487</v>
      </c>
      <c r="Q30" s="77" t="str">
        <f>IFERROR(VLOOKUP(A30,Calculations!$A$37:$AS$65,24,FALSE),"")</f>
        <v/>
      </c>
      <c r="R30" s="77">
        <f>IFERROR(VLOOKUP(A30,Calculations!$A$37:$AS$65,25,FALSE),"")</f>
        <v>0.63888888888888884</v>
      </c>
      <c r="S30" s="77" t="str">
        <f>IFERROR(VLOOKUP(A30,Calculations!$A$37:$AS$65,26,FALSE),"")</f>
        <v/>
      </c>
      <c r="T30" s="77">
        <f>IFERROR(VLOOKUP(A30,Calculations!$A$37:$AS$65,27,FALSE),"")</f>
        <v>0.83783783783783783</v>
      </c>
      <c r="U30" s="77" t="str">
        <f>IFERROR(VLOOKUP(A30,Calculations!$A$37:$AS$65,28,FALSE),"")</f>
        <v/>
      </c>
      <c r="V30" s="77" t="str">
        <f>IFERROR(VLOOKUP(A30,Calculations!$A$37:$AS$65,29,FALSE),"")</f>
        <v/>
      </c>
      <c r="W30" s="58">
        <f>IFERROR(VLOOKUP(A30,Calculations!$A$37:$AS$65,30,FALSE),"")</f>
        <v>4</v>
      </c>
      <c r="X30" s="55">
        <f>IFERROR(VLOOKUP(A30,Calculations!$A$37:$AS$65,32,FALSE),"")</f>
        <v>0.76804829022570964</v>
      </c>
    </row>
    <row r="31" spans="1:25" ht="15" x14ac:dyDescent="0.3">
      <c r="A31" s="36">
        <v>6</v>
      </c>
      <c r="B31" s="35" t="str">
        <f>IFERROR(VLOOKUP(A31,Calculations!$A$37:$AS$65,6,FALSE),"")</f>
        <v>Neil Mason</v>
      </c>
      <c r="C31" s="75">
        <f>IFERROR(VLOOKUP(A31,Calculations!$A$37:$AS$65,7,FALSE),"")</f>
        <v>1885</v>
      </c>
      <c r="D31" s="75" t="str">
        <f>IFERROR(VLOOKUP(A31,Calculations!$A$37:$AS$65,8,FALSE),"")</f>
        <v>B</v>
      </c>
      <c r="E31" s="75" t="str">
        <f>IFERROR(VLOOKUP(A31,Calculations!$A$37:$AS$65,11,FALSE),"")</f>
        <v>PCP</v>
      </c>
      <c r="F31" s="75" t="str">
        <f>IFERROR(VLOOKUP(A31,Calculations!$A$37:$AS$65,12,FALSE),"")</f>
        <v>Buccaneers</v>
      </c>
      <c r="G31" s="76">
        <f>IFERROR(VLOOKUP(A31,Calculations!$A$37:$AS$65,14,FALSE),"")</f>
        <v>30</v>
      </c>
      <c r="H31" s="76">
        <f>IFERROR(VLOOKUP(A31,Calculations!$A$37:$AS$65,15,FALSE),"")</f>
        <v>22</v>
      </c>
      <c r="I31" s="76">
        <f>IFERROR(VLOOKUP(A31,Calculations!$A$37:$AS$65,16,FALSE),"")</f>
        <v>29</v>
      </c>
      <c r="J31" s="76">
        <f>IFERROR(VLOOKUP(A31,Calculations!$A$37:$AS$65,17,FALSE),"")</f>
        <v>26</v>
      </c>
      <c r="K31" s="76">
        <f>IFERROR(VLOOKUP(A31,Calculations!$A$37:$AS$65,18,FALSE),"")</f>
        <v>22</v>
      </c>
      <c r="L31" s="76">
        <f>IFERROR(VLOOKUP(A31,Calculations!$A$37:$AS$65,19,FALSE),"")</f>
        <v>20</v>
      </c>
      <c r="M31" s="76" t="str">
        <f>IFERROR(VLOOKUP(A31,Calculations!$A$37:$AS$65,20,FALSE),"")</f>
        <v/>
      </c>
      <c r="N31" s="76" t="str">
        <f>IFERROR(VLOOKUP(A31,Calculations!$A$37:$AS$65,21,FALSE),"")</f>
        <v/>
      </c>
      <c r="O31" s="77">
        <f>IFERROR(VLOOKUP(A31,Calculations!$A$37:$AS$65,22,FALSE),"")</f>
        <v>0.81081081081081086</v>
      </c>
      <c r="P31" s="77">
        <f>IFERROR(VLOOKUP(A31,Calculations!$A$37:$AS$65,23,FALSE),"")</f>
        <v>0.70967741935483875</v>
      </c>
      <c r="Q31" s="77">
        <f>IFERROR(VLOOKUP(A31,Calculations!$A$37:$AS$65,24,FALSE),"")</f>
        <v>0.78378378378378377</v>
      </c>
      <c r="R31" s="77">
        <f>IFERROR(VLOOKUP(A31,Calculations!$A$37:$AS$65,25,FALSE),"")</f>
        <v>0.72222222222222221</v>
      </c>
      <c r="S31" s="77">
        <f>IFERROR(VLOOKUP(A31,Calculations!$A$37:$AS$65,26,FALSE),"")</f>
        <v>0.57894736842105265</v>
      </c>
      <c r="T31" s="77">
        <f>IFERROR(VLOOKUP(A31,Calculations!$A$37:$AS$65,27,FALSE),"")</f>
        <v>0.54054054054054057</v>
      </c>
      <c r="U31" s="77" t="str">
        <f>IFERROR(VLOOKUP(A31,Calculations!$A$37:$AS$65,28,FALSE),"")</f>
        <v/>
      </c>
      <c r="V31" s="77" t="str">
        <f>IFERROR(VLOOKUP(A31,Calculations!$A$37:$AS$65,29,FALSE),"")</f>
        <v/>
      </c>
      <c r="W31" s="58">
        <f>IFERROR(VLOOKUP(A31,Calculations!$A$37:$AS$65,30,FALSE),"")</f>
        <v>6</v>
      </c>
      <c r="X31" s="55">
        <f>IFERROR(VLOOKUP(A31,Calculations!$A$37:$AS$65,32,FALSE),"")</f>
        <v>0.75662355904291401</v>
      </c>
    </row>
    <row r="32" spans="1:25" ht="15" x14ac:dyDescent="0.3">
      <c r="A32" s="36">
        <v>7</v>
      </c>
      <c r="B32" s="35" t="str">
        <f>IFERROR(VLOOKUP(A32,Calculations!$A$37:$AS$65,6,FALSE),"")</f>
        <v>Peter Terry</v>
      </c>
      <c r="C32" s="75">
        <f>IFERROR(VLOOKUP(A32,Calculations!$A$37:$AS$65,7,FALSE),"")</f>
        <v>1346</v>
      </c>
      <c r="D32" s="75" t="str">
        <f>IFERROR(VLOOKUP(A32,Calculations!$A$37:$AS$65,8,FALSE),"")</f>
        <v>B</v>
      </c>
      <c r="E32" s="75" t="str">
        <f>IFERROR(VLOOKUP(A32,Calculations!$A$37:$AS$65,11,FALSE),"")</f>
        <v>PCP</v>
      </c>
      <c r="F32" s="75" t="str">
        <f>IFERROR(VLOOKUP(A32,Calculations!$A$37:$AS$65,12,FALSE),"")</f>
        <v>Newbury</v>
      </c>
      <c r="G32" s="76" t="str">
        <f>IFERROR(VLOOKUP(A32,Calculations!$A$37:$AS$65,14,FALSE),"")</f>
        <v/>
      </c>
      <c r="H32" s="76" t="str">
        <f>IFERROR(VLOOKUP(A32,Calculations!$A$37:$AS$65,15,FALSE),"")</f>
        <v/>
      </c>
      <c r="I32" s="76">
        <f>IFERROR(VLOOKUP(A32,Calculations!$A$37:$AS$65,16,FALSE),"")</f>
        <v>27</v>
      </c>
      <c r="J32" s="76" t="str">
        <f>IFERROR(VLOOKUP(A32,Calculations!$A$37:$AS$65,17,FALSE),"")</f>
        <v/>
      </c>
      <c r="K32" s="76" t="str">
        <f>IFERROR(VLOOKUP(A32,Calculations!$A$37:$AS$65,18,FALSE),"")</f>
        <v/>
      </c>
      <c r="L32" s="76" t="str">
        <f>IFERROR(VLOOKUP(A32,Calculations!$A$37:$AS$65,19,FALSE),"")</f>
        <v/>
      </c>
      <c r="M32" s="76" t="str">
        <f>IFERROR(VLOOKUP(A32,Calculations!$A$37:$AS$65,20,FALSE),"")</f>
        <v/>
      </c>
      <c r="N32" s="76" t="str">
        <f>IFERROR(VLOOKUP(A32,Calculations!$A$37:$AS$65,21,FALSE),"")</f>
        <v/>
      </c>
      <c r="O32" s="77" t="str">
        <f>IFERROR(VLOOKUP(A32,Calculations!$A$37:$AS$65,22,FALSE),"")</f>
        <v/>
      </c>
      <c r="P32" s="77" t="str">
        <f>IFERROR(VLOOKUP(A32,Calculations!$A$37:$AS$65,23,FALSE),"")</f>
        <v/>
      </c>
      <c r="Q32" s="77">
        <f>IFERROR(VLOOKUP(A32,Calculations!$A$37:$AS$65,24,FALSE),"")</f>
        <v>0.72972972972972971</v>
      </c>
      <c r="R32" s="77" t="str">
        <f>IFERROR(VLOOKUP(A32,Calculations!$A$37:$AS$65,25,FALSE),"")</f>
        <v/>
      </c>
      <c r="S32" s="77" t="str">
        <f>IFERROR(VLOOKUP(A32,Calculations!$A$37:$AS$65,26,FALSE),"")</f>
        <v/>
      </c>
      <c r="T32" s="77" t="str">
        <f>IFERROR(VLOOKUP(A32,Calculations!$A$37:$AS$65,27,FALSE),"")</f>
        <v/>
      </c>
      <c r="U32" s="77" t="str">
        <f>IFERROR(VLOOKUP(A32,Calculations!$A$37:$AS$65,28,FALSE),"")</f>
        <v/>
      </c>
      <c r="V32" s="77" t="str">
        <f>IFERROR(VLOOKUP(A32,Calculations!$A$37:$AS$65,29,FALSE),"")</f>
        <v/>
      </c>
      <c r="W32" s="58">
        <f>IFERROR(VLOOKUP(A32,Calculations!$A$37:$AS$65,30,FALSE),"")</f>
        <v>1</v>
      </c>
      <c r="X32" s="55">
        <f>IFERROR(VLOOKUP(A32,Calculations!$A$37:$AS$65,32,FALSE),"")</f>
        <v>0.72972972972972971</v>
      </c>
    </row>
    <row r="33" spans="1:25" ht="15" x14ac:dyDescent="0.3">
      <c r="A33" s="36">
        <v>8</v>
      </c>
      <c r="B33" s="35" t="str">
        <f>IFERROR(VLOOKUP(A33,Calculations!$A$37:$AS$65,6,FALSE),"")</f>
        <v>Kevin Bird</v>
      </c>
      <c r="C33" s="75">
        <f>IFERROR(VLOOKUP(A33,Calculations!$A$37:$AS$65,7,FALSE),"")</f>
        <v>1877</v>
      </c>
      <c r="D33" s="75" t="str">
        <f>IFERROR(VLOOKUP(A33,Calculations!$A$37:$AS$65,8,FALSE),"")</f>
        <v>B</v>
      </c>
      <c r="E33" s="75" t="str">
        <f>IFERROR(VLOOKUP(A33,Calculations!$A$37:$AS$65,11,FALSE),"")</f>
        <v>PCP</v>
      </c>
      <c r="F33" s="75" t="str">
        <f>IFERROR(VLOOKUP(A33,Calculations!$A$37:$AS$65,12,FALSE),"")</f>
        <v>Newbury</v>
      </c>
      <c r="G33" s="76" t="str">
        <f>IFERROR(VLOOKUP(A33,Calculations!$A$37:$AS$65,14,FALSE),"")</f>
        <v/>
      </c>
      <c r="H33" s="76">
        <f>IFERROR(VLOOKUP(A33,Calculations!$A$37:$AS$65,15,FALSE),"")</f>
        <v>22</v>
      </c>
      <c r="I33" s="76">
        <f>IFERROR(VLOOKUP(A33,Calculations!$A$37:$AS$65,16,FALSE),"")</f>
        <v>25</v>
      </c>
      <c r="J33" s="76">
        <f>IFERROR(VLOOKUP(A33,Calculations!$A$37:$AS$65,17,FALSE),"")</f>
        <v>27</v>
      </c>
      <c r="K33" s="76">
        <f>IFERROR(VLOOKUP(A33,Calculations!$A$37:$AS$65,18,FALSE),"")</f>
        <v>28</v>
      </c>
      <c r="L33" s="76" t="str">
        <f>IFERROR(VLOOKUP(A33,Calculations!$A$37:$AS$65,19,FALSE),"")</f>
        <v/>
      </c>
      <c r="M33" s="76" t="str">
        <f>IFERROR(VLOOKUP(A33,Calculations!$A$37:$AS$65,20,FALSE),"")</f>
        <v/>
      </c>
      <c r="N33" s="76" t="str">
        <f>IFERROR(VLOOKUP(A33,Calculations!$A$37:$AS$65,21,FALSE),"")</f>
        <v/>
      </c>
      <c r="O33" s="77" t="str">
        <f>IFERROR(VLOOKUP(A33,Calculations!$A$37:$AS$65,22,FALSE),"")</f>
        <v/>
      </c>
      <c r="P33" s="77">
        <f>IFERROR(VLOOKUP(A33,Calculations!$A$37:$AS$65,23,FALSE),"")</f>
        <v>0.70967741935483875</v>
      </c>
      <c r="Q33" s="77">
        <f>IFERROR(VLOOKUP(A33,Calculations!$A$37:$AS$65,24,FALSE),"")</f>
        <v>0.67567567567567566</v>
      </c>
      <c r="R33" s="77">
        <f>IFERROR(VLOOKUP(A33,Calculations!$A$37:$AS$65,25,FALSE),"")</f>
        <v>0.75</v>
      </c>
      <c r="S33" s="77">
        <f>IFERROR(VLOOKUP(A33,Calculations!$A$37:$AS$65,26,FALSE),"")</f>
        <v>0.73684210526315785</v>
      </c>
      <c r="T33" s="77" t="str">
        <f>IFERROR(VLOOKUP(A33,Calculations!$A$37:$AS$65,27,FALSE),"")</f>
        <v/>
      </c>
      <c r="U33" s="77" t="str">
        <f>IFERROR(VLOOKUP(A33,Calculations!$A$37:$AS$65,28,FALSE),"")</f>
        <v/>
      </c>
      <c r="V33" s="77" t="str">
        <f>IFERROR(VLOOKUP(A33,Calculations!$A$37:$AS$65,29,FALSE),"")</f>
        <v/>
      </c>
      <c r="W33" s="58">
        <f>IFERROR(VLOOKUP(A33,Calculations!$A$37:$AS$65,30,FALSE),"")</f>
        <v>4</v>
      </c>
      <c r="X33" s="55">
        <f>IFERROR(VLOOKUP(A33,Calculations!$A$37:$AS$65,32,FALSE),"")</f>
        <v>0.71804880007341798</v>
      </c>
    </row>
    <row r="34" spans="1:25" ht="15" x14ac:dyDescent="0.3">
      <c r="A34" s="36">
        <v>9</v>
      </c>
      <c r="B34" s="35" t="str">
        <f>IFERROR(VLOOKUP(A34,Calculations!$A$37:$AS$65,6,FALSE),"")</f>
        <v>Andrew Slade</v>
      </c>
      <c r="C34" s="75">
        <f>IFERROR(VLOOKUP(A34,Calculations!$A$37:$AS$65,7,FALSE),"")</f>
        <v>402</v>
      </c>
      <c r="D34" s="75" t="str">
        <f>IFERROR(VLOOKUP(A34,Calculations!$A$37:$AS$65,8,FALSE),"")</f>
        <v>B</v>
      </c>
      <c r="E34" s="75" t="str">
        <f>IFERROR(VLOOKUP(A34,Calculations!$A$37:$AS$65,11,FALSE),"")</f>
        <v>PCP</v>
      </c>
      <c r="F34" s="75" t="str">
        <f>IFERROR(VLOOKUP(A34,Calculations!$A$37:$AS$65,12,FALSE),"")</f>
        <v>Newbury</v>
      </c>
      <c r="G34" s="76">
        <f>IFERROR(VLOOKUP(A34,Calculations!$A$37:$AS$65,14,FALSE),"")</f>
        <v>27</v>
      </c>
      <c r="H34" s="76">
        <f>IFERROR(VLOOKUP(A34,Calculations!$A$37:$AS$65,15,FALSE),"")</f>
        <v>17</v>
      </c>
      <c r="I34" s="76">
        <f>IFERROR(VLOOKUP(A34,Calculations!$A$37:$AS$65,16,FALSE),"")</f>
        <v>23</v>
      </c>
      <c r="J34" s="76">
        <f>IFERROR(VLOOKUP(A34,Calculations!$A$37:$AS$65,17,FALSE),"")</f>
        <v>19</v>
      </c>
      <c r="K34" s="76">
        <f>IFERROR(VLOOKUP(A34,Calculations!$A$37:$AS$65,18,FALSE),"")</f>
        <v>18</v>
      </c>
      <c r="L34" s="76">
        <f>IFERROR(VLOOKUP(A34,Calculations!$A$37:$AS$65,19,FALSE),"")</f>
        <v>23</v>
      </c>
      <c r="M34" s="76" t="str">
        <f>IFERROR(VLOOKUP(A34,Calculations!$A$37:$AS$65,20,FALSE),"")</f>
        <v/>
      </c>
      <c r="N34" s="76" t="str">
        <f>IFERROR(VLOOKUP(A34,Calculations!$A$37:$AS$65,21,FALSE),"")</f>
        <v/>
      </c>
      <c r="O34" s="77">
        <f>IFERROR(VLOOKUP(A34,Calculations!$A$37:$AS$65,22,FALSE),"")</f>
        <v>0.72972972972972971</v>
      </c>
      <c r="P34" s="77">
        <f>IFERROR(VLOOKUP(A34,Calculations!$A$37:$AS$65,23,FALSE),"")</f>
        <v>0.54838709677419351</v>
      </c>
      <c r="Q34" s="77">
        <f>IFERROR(VLOOKUP(A34,Calculations!$A$37:$AS$65,24,FALSE),"")</f>
        <v>0.6216216216216216</v>
      </c>
      <c r="R34" s="77">
        <f>IFERROR(VLOOKUP(A34,Calculations!$A$37:$AS$65,25,FALSE),"")</f>
        <v>0.52777777777777779</v>
      </c>
      <c r="S34" s="77">
        <f>IFERROR(VLOOKUP(A34,Calculations!$A$37:$AS$65,26,FALSE),"")</f>
        <v>0.47368421052631576</v>
      </c>
      <c r="T34" s="77">
        <f>IFERROR(VLOOKUP(A34,Calculations!$A$37:$AS$65,27,FALSE),"")</f>
        <v>0.6216216216216216</v>
      </c>
      <c r="U34" s="77" t="str">
        <f>IFERROR(VLOOKUP(A34,Calculations!$A$37:$AS$65,28,FALSE),"")</f>
        <v/>
      </c>
      <c r="V34" s="77" t="str">
        <f>IFERROR(VLOOKUP(A34,Calculations!$A$37:$AS$65,29,FALSE),"")</f>
        <v/>
      </c>
      <c r="W34" s="58">
        <f>IFERROR(VLOOKUP(A34,Calculations!$A$37:$AS$65,30,FALSE),"")</f>
        <v>6</v>
      </c>
      <c r="X34" s="55">
        <f>IFERROR(VLOOKUP(A34,Calculations!$A$37:$AS$65,32,FALSE),"")</f>
        <v>0.63034001743679158</v>
      </c>
    </row>
    <row r="35" spans="1:25" ht="15" x14ac:dyDescent="0.3">
      <c r="A35" s="36">
        <v>10</v>
      </c>
      <c r="B35" s="35" t="str">
        <f>IFERROR(VLOOKUP(A35,Calculations!$A$37:$AS$65,6,FALSE),"")</f>
        <v>Dean Mason</v>
      </c>
      <c r="C35" s="75">
        <f>IFERROR(VLOOKUP(A35,Calculations!$A$37:$AS$65,7,FALSE),"")</f>
        <v>1884</v>
      </c>
      <c r="D35" s="75" t="str">
        <f>IFERROR(VLOOKUP(A35,Calculations!$A$37:$AS$65,8,FALSE),"")</f>
        <v>B</v>
      </c>
      <c r="E35" s="75" t="str">
        <f>IFERROR(VLOOKUP(A35,Calculations!$A$37:$AS$65,11,FALSE),"")</f>
        <v>PCP</v>
      </c>
      <c r="F35" s="75" t="str">
        <f>IFERROR(VLOOKUP(A35,Calculations!$A$37:$AS$65,12,FALSE),"")</f>
        <v>Buccaneers</v>
      </c>
      <c r="G35" s="76">
        <f>IFERROR(VLOOKUP(A35,Calculations!$A$37:$AS$65,14,FALSE),"")</f>
        <v>23</v>
      </c>
      <c r="H35" s="76" t="str">
        <f>IFERROR(VLOOKUP(A35,Calculations!$A$37:$AS$65,15,FALSE),"")</f>
        <v/>
      </c>
      <c r="I35" s="76" t="str">
        <f>IFERROR(VLOOKUP(A35,Calculations!$A$37:$AS$65,16,FALSE),"")</f>
        <v/>
      </c>
      <c r="J35" s="76" t="str">
        <f>IFERROR(VLOOKUP(A35,Calculations!$A$37:$AS$65,17,FALSE),"")</f>
        <v/>
      </c>
      <c r="K35" s="76" t="str">
        <f>IFERROR(VLOOKUP(A35,Calculations!$A$37:$AS$65,18,FALSE),"")</f>
        <v/>
      </c>
      <c r="L35" s="76" t="str">
        <f>IFERROR(VLOOKUP(A35,Calculations!$A$37:$AS$65,19,FALSE),"")</f>
        <v/>
      </c>
      <c r="M35" s="76" t="str">
        <f>IFERROR(VLOOKUP(A35,Calculations!$A$37:$AS$65,20,FALSE),"")</f>
        <v/>
      </c>
      <c r="N35" s="76" t="str">
        <f>IFERROR(VLOOKUP(A35,Calculations!$A$37:$AS$65,21,FALSE),"")</f>
        <v/>
      </c>
      <c r="O35" s="77">
        <f>IFERROR(VLOOKUP(A35,Calculations!$A$37:$AS$65,22,FALSE),"")</f>
        <v>0.6216216216216216</v>
      </c>
      <c r="P35" s="77" t="str">
        <f>IFERROR(VLOOKUP(A35,Calculations!$A$37:$AS$65,23,FALSE),"")</f>
        <v/>
      </c>
      <c r="Q35" s="77" t="str">
        <f>IFERROR(VLOOKUP(A35,Calculations!$A$37:$AS$65,24,FALSE),"")</f>
        <v/>
      </c>
      <c r="R35" s="77" t="str">
        <f>IFERROR(VLOOKUP(A35,Calculations!$A$37:$AS$65,25,FALSE),"")</f>
        <v/>
      </c>
      <c r="S35" s="77" t="str">
        <f>IFERROR(VLOOKUP(A35,Calculations!$A$37:$AS$65,26,FALSE),"")</f>
        <v/>
      </c>
      <c r="T35" s="77" t="str">
        <f>IFERROR(VLOOKUP(A35,Calculations!$A$37:$AS$65,27,FALSE),"")</f>
        <v/>
      </c>
      <c r="U35" s="77" t="str">
        <f>IFERROR(VLOOKUP(A35,Calculations!$A$37:$AS$65,28,FALSE),"")</f>
        <v/>
      </c>
      <c r="V35" s="77" t="str">
        <f>IFERROR(VLOOKUP(A35,Calculations!$A$37:$AS$65,29,FALSE),"")</f>
        <v/>
      </c>
      <c r="W35" s="58">
        <f>IFERROR(VLOOKUP(A35,Calculations!$A$37:$AS$65,30,FALSE),"")</f>
        <v>1</v>
      </c>
      <c r="X35" s="55">
        <f>IFERROR(VLOOKUP(A35,Calculations!$A$37:$AS$65,32,FALSE),"")</f>
        <v>0.6216216216216216</v>
      </c>
    </row>
    <row r="36" spans="1:25" ht="15" x14ac:dyDescent="0.3">
      <c r="A36" s="36">
        <v>11</v>
      </c>
      <c r="B36" s="35" t="str">
        <f>IFERROR(VLOOKUP(A36,Calculations!$A$37:$AS$65,6,FALSE),"")</f>
        <v>Graeme Burn</v>
      </c>
      <c r="C36" s="75" t="str">
        <f>IFERROR(VLOOKUP(A36,Calculations!$A$37:$AS$65,7,FALSE),"")</f>
        <v/>
      </c>
      <c r="D36" s="75" t="str">
        <f>IFERROR(VLOOKUP(A36,Calculations!$A$37:$AS$65,8,FALSE),"")</f>
        <v>B</v>
      </c>
      <c r="E36" s="75" t="str">
        <f>IFERROR(VLOOKUP(A36,Calculations!$A$37:$AS$65,11,FALSE),"")</f>
        <v>Piston</v>
      </c>
      <c r="F36" s="75" t="str">
        <f>IFERROR(VLOOKUP(A36,Calculations!$A$37:$AS$65,12,FALSE),"")</f>
        <v>Weston Warrior</v>
      </c>
      <c r="G36" s="76">
        <f>IFERROR(VLOOKUP(A36,Calculations!$A$37:$AS$65,14,FALSE),"")</f>
        <v>18</v>
      </c>
      <c r="H36" s="76">
        <f>IFERROR(VLOOKUP(A36,Calculations!$A$37:$AS$65,15,FALSE),"")</f>
        <v>20</v>
      </c>
      <c r="I36" s="76">
        <f>IFERROR(VLOOKUP(A36,Calculations!$A$37:$AS$65,16,FALSE),"")</f>
        <v>25</v>
      </c>
      <c r="J36" s="76" t="str">
        <f>IFERROR(VLOOKUP(A36,Calculations!$A$37:$AS$65,17,FALSE),"")</f>
        <v/>
      </c>
      <c r="K36" s="76" t="str">
        <f>IFERROR(VLOOKUP(A36,Calculations!$A$37:$AS$65,18,FALSE),"")</f>
        <v/>
      </c>
      <c r="L36" s="76" t="str">
        <f>IFERROR(VLOOKUP(A36,Calculations!$A$37:$AS$65,19,FALSE),"")</f>
        <v/>
      </c>
      <c r="M36" s="76" t="str">
        <f>IFERROR(VLOOKUP(A36,Calculations!$A$37:$AS$65,20,FALSE),"")</f>
        <v/>
      </c>
      <c r="N36" s="76" t="str">
        <f>IFERROR(VLOOKUP(A36,Calculations!$A$37:$AS$65,21,FALSE),"")</f>
        <v/>
      </c>
      <c r="O36" s="77">
        <f>IFERROR(VLOOKUP(A36,Calculations!$A$37:$AS$65,22,FALSE),"")</f>
        <v>0.48648648648648651</v>
      </c>
      <c r="P36" s="77">
        <f>IFERROR(VLOOKUP(A36,Calculations!$A$37:$AS$65,23,FALSE),"")</f>
        <v>0.64516129032258063</v>
      </c>
      <c r="Q36" s="77">
        <f>IFERROR(VLOOKUP(A36,Calculations!$A$37:$AS$65,24,FALSE),"")</f>
        <v>0.67567567567567566</v>
      </c>
      <c r="R36" s="77" t="str">
        <f>IFERROR(VLOOKUP(A36,Calculations!$A$37:$AS$65,25,FALSE),"")</f>
        <v/>
      </c>
      <c r="S36" s="77" t="str">
        <f>IFERROR(VLOOKUP(A36,Calculations!$A$37:$AS$65,26,FALSE),"")</f>
        <v/>
      </c>
      <c r="T36" s="77" t="str">
        <f>IFERROR(VLOOKUP(A36,Calculations!$A$37:$AS$65,27,FALSE),"")</f>
        <v/>
      </c>
      <c r="U36" s="77" t="str">
        <f>IFERROR(VLOOKUP(A36,Calculations!$A$37:$AS$65,28,FALSE),"")</f>
        <v/>
      </c>
      <c r="V36" s="77" t="str">
        <f>IFERROR(VLOOKUP(A36,Calculations!$A$37:$AS$65,29,FALSE),"")</f>
        <v/>
      </c>
      <c r="W36" s="58">
        <f>IFERROR(VLOOKUP(A36,Calculations!$A$37:$AS$65,30,FALSE),"")</f>
        <v>3</v>
      </c>
      <c r="X36" s="55">
        <f>IFERROR(VLOOKUP(A36,Calculations!$A$37:$AS$65,32,FALSE),"")</f>
        <v>0.60244115082824756</v>
      </c>
    </row>
    <row r="37" spans="1:25" ht="15" x14ac:dyDescent="0.3">
      <c r="A37" s="36">
        <v>12</v>
      </c>
      <c r="B37" s="35" t="str">
        <f>IFERROR(VLOOKUP(A37,Calculations!$A$37:$AS$65,6,FALSE),"")</f>
        <v>Jonathan Hawes</v>
      </c>
      <c r="C37" s="75">
        <f>IFERROR(VLOOKUP(A37,Calculations!$A$37:$AS$65,7,FALSE),"")</f>
        <v>449</v>
      </c>
      <c r="D37" s="75" t="str">
        <f>IFERROR(VLOOKUP(A37,Calculations!$A$37:$AS$65,8,FALSE),"")</f>
        <v>B</v>
      </c>
      <c r="E37" s="75" t="str">
        <f>IFERROR(VLOOKUP(A37,Calculations!$A$37:$AS$65,11,FALSE),"")</f>
        <v>PCP</v>
      </c>
      <c r="F37" s="75" t="str">
        <f>IFERROR(VLOOKUP(A37,Calculations!$A$37:$AS$65,12,FALSE),"")</f>
        <v>Newbury</v>
      </c>
      <c r="G37" s="76" t="str">
        <f>IFERROR(VLOOKUP(A37,Calculations!$A$37:$AS$65,14,FALSE),"")</f>
        <v/>
      </c>
      <c r="H37" s="76" t="str">
        <f>IFERROR(VLOOKUP(A37,Calculations!$A$37:$AS$65,15,FALSE),"")</f>
        <v/>
      </c>
      <c r="I37" s="76">
        <f>IFERROR(VLOOKUP(A37,Calculations!$A$37:$AS$65,16,FALSE),"")</f>
        <v>21</v>
      </c>
      <c r="J37" s="76" t="str">
        <f>IFERROR(VLOOKUP(A37,Calculations!$A$37:$AS$65,17,FALSE),"")</f>
        <v/>
      </c>
      <c r="K37" s="76" t="str">
        <f>IFERROR(VLOOKUP(A37,Calculations!$A$37:$AS$65,18,FALSE),"")</f>
        <v/>
      </c>
      <c r="L37" s="76" t="str">
        <f>IFERROR(VLOOKUP(A37,Calculations!$A$37:$AS$65,19,FALSE),"")</f>
        <v/>
      </c>
      <c r="M37" s="76" t="str">
        <f>IFERROR(VLOOKUP(A37,Calculations!$A$37:$AS$65,20,FALSE),"")</f>
        <v/>
      </c>
      <c r="N37" s="76" t="str">
        <f>IFERROR(VLOOKUP(A37,Calculations!$A$37:$AS$65,21,FALSE),"")</f>
        <v/>
      </c>
      <c r="O37" s="77" t="str">
        <f>IFERROR(VLOOKUP(A37,Calculations!$A$37:$AS$65,22,FALSE),"")</f>
        <v/>
      </c>
      <c r="P37" s="77" t="str">
        <f>IFERROR(VLOOKUP(A37,Calculations!$A$37:$AS$65,23,FALSE),"")</f>
        <v/>
      </c>
      <c r="Q37" s="77">
        <f>IFERROR(VLOOKUP(A37,Calculations!$A$37:$AS$65,24,FALSE),"")</f>
        <v>0.56756756756756754</v>
      </c>
      <c r="R37" s="77" t="str">
        <f>IFERROR(VLOOKUP(A37,Calculations!$A$37:$AS$65,25,FALSE),"")</f>
        <v/>
      </c>
      <c r="S37" s="77" t="str">
        <f>IFERROR(VLOOKUP(A37,Calculations!$A$37:$AS$65,26,FALSE),"")</f>
        <v/>
      </c>
      <c r="T37" s="77" t="str">
        <f>IFERROR(VLOOKUP(A37,Calculations!$A$37:$AS$65,27,FALSE),"")</f>
        <v/>
      </c>
      <c r="U37" s="77" t="str">
        <f>IFERROR(VLOOKUP(A37,Calculations!$A$37:$AS$65,28,FALSE),"")</f>
        <v/>
      </c>
      <c r="V37" s="77" t="str">
        <f>IFERROR(VLOOKUP(A37,Calculations!$A$37:$AS$65,29,FALSE),"")</f>
        <v/>
      </c>
      <c r="W37" s="58">
        <f>IFERROR(VLOOKUP(A37,Calculations!$A$37:$AS$65,30,FALSE),"")</f>
        <v>1</v>
      </c>
      <c r="X37" s="55">
        <f>IFERROR(VLOOKUP(A37,Calculations!$A$37:$AS$65,32,FALSE),"")</f>
        <v>0.56756756756756754</v>
      </c>
    </row>
    <row r="38" spans="1:25" ht="15" hidden="1" x14ac:dyDescent="0.3">
      <c r="A38" s="36">
        <v>13</v>
      </c>
      <c r="B38" s="35" t="str">
        <f>IFERROR(VLOOKUP(A38,Calculations!$A$37:$AS$65,6,FALSE),"")</f>
        <v/>
      </c>
      <c r="C38" s="75" t="str">
        <f>IFERROR(VLOOKUP(A38,Calculations!$A$37:$AS$65,7,FALSE),"")</f>
        <v/>
      </c>
      <c r="D38" s="75" t="str">
        <f>IFERROR(VLOOKUP(A38,Calculations!$A$37:$AS$65,8,FALSE),"")</f>
        <v/>
      </c>
      <c r="E38" s="75" t="str">
        <f>IFERROR(VLOOKUP(A38,Calculations!$A$37:$AS$65,11,FALSE),"")</f>
        <v/>
      </c>
      <c r="F38" s="75" t="str">
        <f>IFERROR(VLOOKUP(A38,Calculations!$A$37:$AS$65,12,FALSE),"")</f>
        <v/>
      </c>
      <c r="G38" s="76" t="str">
        <f>IFERROR(VLOOKUP(A38,Calculations!$A$37:$AS$65,14,FALSE),"")</f>
        <v/>
      </c>
      <c r="H38" s="76" t="str">
        <f>IFERROR(VLOOKUP(A38,Calculations!$A$37:$AS$65,15,FALSE),"")</f>
        <v/>
      </c>
      <c r="I38" s="76" t="str">
        <f>IFERROR(VLOOKUP(A38,Calculations!$A$37:$AS$65,16,FALSE),"")</f>
        <v/>
      </c>
      <c r="J38" s="76" t="str">
        <f>IFERROR(VLOOKUP(A38,Calculations!$A$37:$AS$65,17,FALSE),"")</f>
        <v/>
      </c>
      <c r="K38" s="76" t="str">
        <f>IFERROR(VLOOKUP(A38,Calculations!$A$37:$AS$65,18,FALSE),"")</f>
        <v/>
      </c>
      <c r="L38" s="76" t="str">
        <f>IFERROR(VLOOKUP(A38,Calculations!$A$37:$AS$65,19,FALSE),"")</f>
        <v/>
      </c>
      <c r="M38" s="76" t="str">
        <f>IFERROR(VLOOKUP(A38,Calculations!$A$37:$AS$65,20,FALSE),"")</f>
        <v/>
      </c>
      <c r="N38" s="76" t="str">
        <f>IFERROR(VLOOKUP(A38,Calculations!$A$37:$AS$65,21,FALSE),"")</f>
        <v/>
      </c>
      <c r="O38" s="77" t="str">
        <f>IFERROR(VLOOKUP(A38,Calculations!$A$37:$AS$65,22,FALSE),"")</f>
        <v/>
      </c>
      <c r="P38" s="77" t="str">
        <f>IFERROR(VLOOKUP(A38,Calculations!$A$37:$AS$65,23,FALSE),"")</f>
        <v/>
      </c>
      <c r="Q38" s="77" t="str">
        <f>IFERROR(VLOOKUP(A38,Calculations!$A$37:$AS$65,24,FALSE),"")</f>
        <v/>
      </c>
      <c r="R38" s="77" t="str">
        <f>IFERROR(VLOOKUP(A38,Calculations!$A$37:$AS$65,25,FALSE),"")</f>
        <v/>
      </c>
      <c r="S38" s="77" t="str">
        <f>IFERROR(VLOOKUP(A38,Calculations!$A$37:$AS$65,26,FALSE),"")</f>
        <v/>
      </c>
      <c r="T38" s="77" t="str">
        <f>IFERROR(VLOOKUP(A38,Calculations!$A$37:$AS$65,27,FALSE),"")</f>
        <v/>
      </c>
      <c r="U38" s="77" t="str">
        <f>IFERROR(VLOOKUP(A38,Calculations!$A$37:$AS$65,28,FALSE),"")</f>
        <v/>
      </c>
      <c r="V38" s="77" t="str">
        <f>IFERROR(VLOOKUP(A38,Calculations!$A$37:$AS$65,29,FALSE),"")</f>
        <v/>
      </c>
      <c r="W38" s="58" t="str">
        <f>IFERROR(VLOOKUP(A38,Calculations!$A$37:$AS$65,30,FALSE),"")</f>
        <v/>
      </c>
      <c r="X38" s="55" t="str">
        <f>IFERROR(VLOOKUP(A38,Calculations!$A$37:$AS$65,31,FALSE),"")</f>
        <v/>
      </c>
    </row>
    <row r="39" spans="1:25" ht="15" hidden="1" x14ac:dyDescent="0.3">
      <c r="A39" s="36">
        <v>14</v>
      </c>
      <c r="B39" s="35" t="str">
        <f>IFERROR(VLOOKUP(A39,Calculations!$A$37:$AS$65,6,FALSE),"")</f>
        <v/>
      </c>
      <c r="C39" s="75" t="str">
        <f>IFERROR(VLOOKUP(A39,Calculations!$A$37:$AS$65,7,FALSE),"")</f>
        <v/>
      </c>
      <c r="D39" s="75" t="str">
        <f>IFERROR(VLOOKUP(A39,Calculations!$A$37:$AS$65,8,FALSE),"")</f>
        <v/>
      </c>
      <c r="E39" s="75" t="str">
        <f>IFERROR(VLOOKUP(A39,Calculations!$A$37:$AS$65,11,FALSE),"")</f>
        <v/>
      </c>
      <c r="F39" s="75" t="str">
        <f>IFERROR(VLOOKUP(A39,Calculations!$A$37:$AS$65,12,FALSE),"")</f>
        <v/>
      </c>
      <c r="G39" s="76" t="str">
        <f>IFERROR(VLOOKUP(A39,Calculations!$A$37:$AS$65,14,FALSE),"")</f>
        <v/>
      </c>
      <c r="H39" s="76" t="str">
        <f>IFERROR(VLOOKUP(A39,Calculations!$A$37:$AS$65,15,FALSE),"")</f>
        <v/>
      </c>
      <c r="I39" s="76" t="str">
        <f>IFERROR(VLOOKUP(A39,Calculations!$A$37:$AS$65,16,FALSE),"")</f>
        <v/>
      </c>
      <c r="J39" s="76" t="str">
        <f>IFERROR(VLOOKUP(A39,Calculations!$A$37:$AS$65,17,FALSE),"")</f>
        <v/>
      </c>
      <c r="K39" s="76" t="str">
        <f>IFERROR(VLOOKUP(A39,Calculations!$A$37:$AS$65,18,FALSE),"")</f>
        <v/>
      </c>
      <c r="L39" s="76" t="str">
        <f>IFERROR(VLOOKUP(A39,Calculations!$A$37:$AS$65,19,FALSE),"")</f>
        <v/>
      </c>
      <c r="M39" s="76" t="str">
        <f>IFERROR(VLOOKUP(A39,Calculations!$A$37:$AS$65,20,FALSE),"")</f>
        <v/>
      </c>
      <c r="N39" s="76" t="str">
        <f>IFERROR(VLOOKUP(A39,Calculations!$A$37:$AS$65,21,FALSE),"")</f>
        <v/>
      </c>
      <c r="O39" s="77" t="str">
        <f>IFERROR(VLOOKUP(A39,Calculations!$A$37:$AS$65,22,FALSE),"")</f>
        <v/>
      </c>
      <c r="P39" s="77" t="str">
        <f>IFERROR(VLOOKUP(A39,Calculations!$A$37:$AS$65,23,FALSE),"")</f>
        <v/>
      </c>
      <c r="Q39" s="77" t="str">
        <f>IFERROR(VLOOKUP(A39,Calculations!$A$37:$AS$65,24,FALSE),"")</f>
        <v/>
      </c>
      <c r="R39" s="77" t="str">
        <f>IFERROR(VLOOKUP(A39,Calculations!$A$37:$AS$65,25,FALSE),"")</f>
        <v/>
      </c>
      <c r="S39" s="77" t="str">
        <f>IFERROR(VLOOKUP(A39,Calculations!$A$37:$AS$65,26,FALSE),"")</f>
        <v/>
      </c>
      <c r="T39" s="77" t="str">
        <f>IFERROR(VLOOKUP(A39,Calculations!$A$37:$AS$65,27,FALSE),"")</f>
        <v/>
      </c>
      <c r="U39" s="77" t="str">
        <f>IFERROR(VLOOKUP(A39,Calculations!$A$37:$AS$65,28,FALSE),"")</f>
        <v/>
      </c>
      <c r="V39" s="77" t="str">
        <f>IFERROR(VLOOKUP(A39,Calculations!$A$37:$AS$65,29,FALSE),"")</f>
        <v/>
      </c>
      <c r="W39" s="58" t="str">
        <f>IFERROR(VLOOKUP(A39,Calculations!$A$37:$AS$65,30,FALSE),"")</f>
        <v/>
      </c>
      <c r="X39" s="55" t="str">
        <f>IFERROR(VLOOKUP(A39,Calculations!$A$37:$AS$65,31,FALSE),"")</f>
        <v/>
      </c>
    </row>
    <row r="40" spans="1:25" ht="15" hidden="1" x14ac:dyDescent="0.3">
      <c r="A40" s="36">
        <v>15</v>
      </c>
      <c r="B40" s="35" t="str">
        <f>IFERROR(VLOOKUP(A40,Calculations!$A$37:$AS$65,6,FALSE),"")</f>
        <v/>
      </c>
      <c r="C40" s="75" t="str">
        <f>IFERROR(VLOOKUP(A40,Calculations!$A$37:$AS$65,7,FALSE),"")</f>
        <v/>
      </c>
      <c r="D40" s="75" t="str">
        <f>IFERROR(VLOOKUP(A40,Calculations!$A$37:$AS$65,8,FALSE),"")</f>
        <v/>
      </c>
      <c r="E40" s="75" t="str">
        <f>IFERROR(VLOOKUP(A40,Calculations!$A$37:$AS$65,11,FALSE),"")</f>
        <v/>
      </c>
      <c r="F40" s="75" t="str">
        <f>IFERROR(VLOOKUP(A40,Calculations!$A$37:$AS$65,12,FALSE),"")</f>
        <v/>
      </c>
      <c r="G40" s="76" t="str">
        <f>IFERROR(VLOOKUP(A40,Calculations!$A$37:$AS$65,14,FALSE),"")</f>
        <v/>
      </c>
      <c r="H40" s="76" t="str">
        <f>IFERROR(VLOOKUP(A40,Calculations!$A$37:$AS$65,15,FALSE),"")</f>
        <v/>
      </c>
      <c r="I40" s="76" t="str">
        <f>IFERROR(VLOOKUP(A40,Calculations!$A$37:$AS$65,16,FALSE),"")</f>
        <v/>
      </c>
      <c r="J40" s="76" t="str">
        <f>IFERROR(VLOOKUP(A40,Calculations!$A$37:$AS$65,17,FALSE),"")</f>
        <v/>
      </c>
      <c r="K40" s="76" t="str">
        <f>IFERROR(VLOOKUP(A40,Calculations!$A$37:$AS$65,18,FALSE),"")</f>
        <v/>
      </c>
      <c r="L40" s="76" t="str">
        <f>IFERROR(VLOOKUP(A40,Calculations!$A$37:$AS$65,19,FALSE),"")</f>
        <v/>
      </c>
      <c r="M40" s="76" t="str">
        <f>IFERROR(VLOOKUP(A40,Calculations!$A$37:$AS$65,20,FALSE),"")</f>
        <v/>
      </c>
      <c r="N40" s="76" t="str">
        <f>IFERROR(VLOOKUP(A40,Calculations!$A$37:$AS$65,21,FALSE),"")</f>
        <v/>
      </c>
      <c r="O40" s="77" t="str">
        <f>IFERROR(VLOOKUP(A40,Calculations!$A$37:$AS$65,22,FALSE),"")</f>
        <v/>
      </c>
      <c r="P40" s="77" t="str">
        <f>IFERROR(VLOOKUP(A40,Calculations!$A$37:$AS$65,23,FALSE),"")</f>
        <v/>
      </c>
      <c r="Q40" s="77" t="str">
        <f>IFERROR(VLOOKUP(A40,Calculations!$A$37:$AS$65,24,FALSE),"")</f>
        <v/>
      </c>
      <c r="R40" s="77" t="str">
        <f>IFERROR(VLOOKUP(A40,Calculations!$A$37:$AS$65,25,FALSE),"")</f>
        <v/>
      </c>
      <c r="S40" s="77" t="str">
        <f>IFERROR(VLOOKUP(A40,Calculations!$A$37:$AS$65,26,FALSE),"")</f>
        <v/>
      </c>
      <c r="T40" s="77" t="str">
        <f>IFERROR(VLOOKUP(A40,Calculations!$A$37:$AS$65,27,FALSE),"")</f>
        <v/>
      </c>
      <c r="U40" s="77" t="str">
        <f>IFERROR(VLOOKUP(A40,Calculations!$A$37:$AS$65,28,FALSE),"")</f>
        <v/>
      </c>
      <c r="V40" s="77" t="str">
        <f>IFERROR(VLOOKUP(A40,Calculations!$A$37:$AS$65,29,FALSE),"")</f>
        <v/>
      </c>
      <c r="W40" s="58" t="str">
        <f>IFERROR(VLOOKUP(A40,Calculations!$A$37:$AS$65,30,FALSE),"")</f>
        <v/>
      </c>
      <c r="X40" s="55" t="str">
        <f>IFERROR(VLOOKUP(A40,Calculations!$A$37:$AS$65,31,FALSE),"")</f>
        <v/>
      </c>
    </row>
    <row r="41" spans="1:25" ht="27" customHeight="1" x14ac:dyDescent="0.3">
      <c r="A41" s="128" t="s">
        <v>199</v>
      </c>
      <c r="B41" s="70" t="s">
        <v>0</v>
      </c>
      <c r="C41" s="70" t="s">
        <v>1</v>
      </c>
      <c r="D41" s="70" t="s">
        <v>2</v>
      </c>
      <c r="E41" s="70" t="s">
        <v>3</v>
      </c>
      <c r="F41" s="70" t="s">
        <v>4</v>
      </c>
      <c r="G41" s="71" t="s">
        <v>150</v>
      </c>
      <c r="H41" s="71" t="s">
        <v>151</v>
      </c>
      <c r="I41" s="71" t="s">
        <v>152</v>
      </c>
      <c r="J41" s="71" t="s">
        <v>153</v>
      </c>
      <c r="K41" s="71" t="s">
        <v>154</v>
      </c>
      <c r="L41" s="71" t="s">
        <v>155</v>
      </c>
      <c r="M41" s="71" t="s">
        <v>156</v>
      </c>
      <c r="N41" s="71" t="s">
        <v>157</v>
      </c>
      <c r="O41" s="72" t="s">
        <v>150</v>
      </c>
      <c r="P41" s="72" t="s">
        <v>151</v>
      </c>
      <c r="Q41" s="72" t="s">
        <v>152</v>
      </c>
      <c r="R41" s="72" t="s">
        <v>153</v>
      </c>
      <c r="S41" s="72" t="s">
        <v>154</v>
      </c>
      <c r="T41" s="72" t="s">
        <v>155</v>
      </c>
      <c r="U41" s="72" t="s">
        <v>156</v>
      </c>
      <c r="V41" s="72" t="s">
        <v>157</v>
      </c>
      <c r="W41" s="73" t="s">
        <v>166</v>
      </c>
      <c r="X41" s="73" t="s">
        <v>167</v>
      </c>
      <c r="Y41" s="74"/>
    </row>
    <row r="42" spans="1:25" ht="15" x14ac:dyDescent="0.3">
      <c r="A42" s="36">
        <v>1</v>
      </c>
      <c r="B42" s="35" t="str">
        <f>IFERROR(VLOOKUP(A42,Calculations!$A$66:$AS$84,6,FALSE),"")</f>
        <v>Glenda Privett</v>
      </c>
      <c r="C42" s="75">
        <f>IFERROR(VLOOKUP(A42,Calculations!$A$66:$AS$84,7,FALSE),"")</f>
        <v>1431</v>
      </c>
      <c r="D42" s="75" t="str">
        <f>IFERROR(VLOOKUP(A42,Calculations!$A$66:$AS$84,8,FALSE),"")</f>
        <v>C</v>
      </c>
      <c r="E42" s="75" t="str">
        <f>IFERROR(VLOOKUP(A42,Calculations!$A$66:$AS$84,11,FALSE),"")</f>
        <v>PCP</v>
      </c>
      <c r="F42" s="75" t="str">
        <f>IFERROR(VLOOKUP(A42,Calculations!$A$66:$AS$84,12,FALSE),"")</f>
        <v>Buccaneers</v>
      </c>
      <c r="G42" s="76">
        <f>IFERROR(VLOOKUP(A42,Calculations!$A$66:$AS$84,14,FALSE),"")</f>
        <v>32</v>
      </c>
      <c r="H42" s="76">
        <f>IFERROR(VLOOKUP(A42,Calculations!$A$66:$AS$84,15,FALSE),"")</f>
        <v>20</v>
      </c>
      <c r="I42" s="76">
        <f>IFERROR(VLOOKUP(A42,Calculations!$A$66:$AS$84,16,FALSE),"")</f>
        <v>28</v>
      </c>
      <c r="J42" s="76" t="str">
        <f>IFERROR(VLOOKUP(A42,Calculations!$A$66:$AS$84,17,FALSE),"")</f>
        <v/>
      </c>
      <c r="K42" s="76">
        <f>IFERROR(VLOOKUP(A42,Calculations!$A$66:$AS$84,18,FALSE),"")</f>
        <v>22</v>
      </c>
      <c r="L42" s="76">
        <f>IFERROR(VLOOKUP(A42,Calculations!$A$66:$AS$84,19,FALSE),"")</f>
        <v>27</v>
      </c>
      <c r="M42" s="76" t="str">
        <f>IFERROR(VLOOKUP(A42,Calculations!$A$66:$AS$84,20,FALSE),"")</f>
        <v/>
      </c>
      <c r="N42" s="76" t="str">
        <f>IFERROR(VLOOKUP(A42,Calculations!$A$66:$AS$84,21,FALSE),"")</f>
        <v/>
      </c>
      <c r="O42" s="77">
        <f>IFERROR(VLOOKUP(A42,Calculations!$A$66:$AS$84,22,FALSE),"")</f>
        <v>0.86486486486486491</v>
      </c>
      <c r="P42" s="77">
        <f>IFERROR(VLOOKUP(A42,Calculations!$A$66:$AS$84,23,FALSE),"")</f>
        <v>0.64516129032258063</v>
      </c>
      <c r="Q42" s="77">
        <f>IFERROR(VLOOKUP(A42,Calculations!$A$66:$AS$84,24,FALSE),"")</f>
        <v>0.7567567567567568</v>
      </c>
      <c r="R42" s="77" t="str">
        <f>IFERROR(VLOOKUP(A42,Calculations!$A$66:$AS$84,25,FALSE),"")</f>
        <v/>
      </c>
      <c r="S42" s="77">
        <f>IFERROR(VLOOKUP(A42,Calculations!$A$66:$AS$84,26,FALSE),"")</f>
        <v>0.57894736842105265</v>
      </c>
      <c r="T42" s="77">
        <f>IFERROR(VLOOKUP(A42,Calculations!$A$66:$AS$84,27,FALSE),"")</f>
        <v>0.72972972972972971</v>
      </c>
      <c r="U42" s="77" t="str">
        <f>IFERROR(VLOOKUP(A42,Calculations!$A$66:$AS$84,28,FALSE),"")</f>
        <v/>
      </c>
      <c r="V42" s="77" t="str">
        <f>IFERROR(VLOOKUP(A42,Calculations!$A$66:$AS$84,29,FALSE),"")</f>
        <v/>
      </c>
      <c r="W42" s="58">
        <f>IFERROR(VLOOKUP(A42,Calculations!$A$66:$AS$84,30,FALSE),"")</f>
        <v>5</v>
      </c>
      <c r="X42" s="55">
        <f>IFERROR(VLOOKUP(A42,Calculations!$A$66:$AS$84,32,FALSE),"")</f>
        <v>0.74912816041848296</v>
      </c>
    </row>
    <row r="43" spans="1:25" ht="15" x14ac:dyDescent="0.3">
      <c r="A43" s="36">
        <v>2</v>
      </c>
      <c r="B43" s="35" t="str">
        <f>IFERROR(VLOOKUP(A43,Calculations!$A$66:$AS$84,6,FALSE),"")</f>
        <v>Nigel Mason</v>
      </c>
      <c r="C43" s="75">
        <f>IFERROR(VLOOKUP(A43,Calculations!$A$66:$AS$84,7,FALSE),"")</f>
        <v>1886</v>
      </c>
      <c r="D43" s="75" t="str">
        <f>IFERROR(VLOOKUP(A43,Calculations!$A$66:$AS$84,8,FALSE),"")</f>
        <v>C</v>
      </c>
      <c r="E43" s="75" t="str">
        <f>IFERROR(VLOOKUP(A43,Calculations!$A$66:$AS$84,11,FALSE),"")</f>
        <v>PCP</v>
      </c>
      <c r="F43" s="75" t="str">
        <f>IFERROR(VLOOKUP(A43,Calculations!$A$66:$AS$84,12,FALSE),"")</f>
        <v>Meon</v>
      </c>
      <c r="G43" s="76">
        <f>IFERROR(VLOOKUP(A43,Calculations!$A$66:$AS$84,14,FALSE),"")</f>
        <v>23</v>
      </c>
      <c r="H43" s="76">
        <f>IFERROR(VLOOKUP(A43,Calculations!$A$66:$AS$84,15,FALSE),"")</f>
        <v>17</v>
      </c>
      <c r="I43" s="76">
        <f>IFERROR(VLOOKUP(A43,Calculations!$A$66:$AS$84,16,FALSE),"")</f>
        <v>23</v>
      </c>
      <c r="J43" s="76">
        <f>IFERROR(VLOOKUP(A43,Calculations!$A$66:$AS$84,17,FALSE),"")</f>
        <v>23</v>
      </c>
      <c r="K43" s="76">
        <f>IFERROR(VLOOKUP(A43,Calculations!$A$66:$AS$84,18,FALSE),"")</f>
        <v>27</v>
      </c>
      <c r="L43" s="76">
        <f>IFERROR(VLOOKUP(A43,Calculations!$A$66:$AS$84,19,FALSE),"")</f>
        <v>25</v>
      </c>
      <c r="M43" s="76" t="str">
        <f>IFERROR(VLOOKUP(A43,Calculations!$A$66:$AS$84,20,FALSE),"")</f>
        <v/>
      </c>
      <c r="N43" s="76" t="str">
        <f>IFERROR(VLOOKUP(A43,Calculations!$A$66:$AS$84,21,FALSE),"")</f>
        <v/>
      </c>
      <c r="O43" s="77">
        <f>IFERROR(VLOOKUP(A43,Calculations!$A$66:$AS$84,22,FALSE),"")</f>
        <v>0.6216216216216216</v>
      </c>
      <c r="P43" s="77">
        <f>IFERROR(VLOOKUP(A43,Calculations!$A$66:$AS$84,23,FALSE),"")</f>
        <v>0.54838709677419351</v>
      </c>
      <c r="Q43" s="77">
        <f>IFERROR(VLOOKUP(A43,Calculations!$A$66:$AS$84,24,FALSE),"")</f>
        <v>0.6216216216216216</v>
      </c>
      <c r="R43" s="77">
        <f>IFERROR(VLOOKUP(A43,Calculations!$A$66:$AS$84,25,FALSE),"")</f>
        <v>0.63888888888888884</v>
      </c>
      <c r="S43" s="77">
        <f>IFERROR(VLOOKUP(A43,Calculations!$A$66:$AS$84,26,FALSE),"")</f>
        <v>0.71052631578947367</v>
      </c>
      <c r="T43" s="77">
        <f>IFERROR(VLOOKUP(A43,Calculations!$A$66:$AS$84,27,FALSE),"")</f>
        <v>0.67567567567567566</v>
      </c>
      <c r="U43" s="77" t="str">
        <f>IFERROR(VLOOKUP(A43,Calculations!$A$66:$AS$84,28,FALSE),"")</f>
        <v/>
      </c>
      <c r="V43" s="77" t="str">
        <f>IFERROR(VLOOKUP(A43,Calculations!$A$66:$AS$84,29,FALSE),"")</f>
        <v/>
      </c>
      <c r="W43" s="58">
        <f>IFERROR(VLOOKUP(A43,Calculations!$A$66:$AS$84,30,FALSE),"")</f>
        <v>6</v>
      </c>
      <c r="X43" s="55">
        <f>IFERROR(VLOOKUP(A43,Calculations!$A$66:$AS$84,32,FALSE),"")</f>
        <v>0.66167812549391491</v>
      </c>
    </row>
    <row r="44" spans="1:25" ht="15" x14ac:dyDescent="0.3">
      <c r="A44" s="36">
        <v>3</v>
      </c>
      <c r="B44" s="35" t="str">
        <f>IFERROR(VLOOKUP(A44,Calculations!$A$66:$AS$84,6,FALSE),"")</f>
        <v>Robyn Eames</v>
      </c>
      <c r="C44" s="75">
        <f>IFERROR(VLOOKUP(A44,Calculations!$A$66:$AS$84,7,FALSE),"")</f>
        <v>1883</v>
      </c>
      <c r="D44" s="75" t="str">
        <f>IFERROR(VLOOKUP(A44,Calculations!$A$66:$AS$84,8,FALSE),"")</f>
        <v>C</v>
      </c>
      <c r="E44" s="75" t="str">
        <f>IFERROR(VLOOKUP(A44,Calculations!$A$66:$AS$84,11,FALSE),"")</f>
        <v>PCP</v>
      </c>
      <c r="F44" s="75" t="str">
        <f>IFERROR(VLOOKUP(A44,Calculations!$A$66:$AS$84,12,FALSE),"")</f>
        <v>Carisbrooke</v>
      </c>
      <c r="G44" s="76">
        <f>IFERROR(VLOOKUP(A44,Calculations!$A$66:$AS$84,14,FALSE),"")</f>
        <v>21</v>
      </c>
      <c r="H44" s="76">
        <f>IFERROR(VLOOKUP(A44,Calculations!$A$66:$AS$84,15,FALSE),"")</f>
        <v>20</v>
      </c>
      <c r="I44" s="76">
        <f>IFERROR(VLOOKUP(A44,Calculations!$A$66:$AS$84,16,FALSE),"")</f>
        <v>27</v>
      </c>
      <c r="J44" s="76">
        <f>IFERROR(VLOOKUP(A44,Calculations!$A$66:$AS$84,17,FALSE),"")</f>
        <v>22</v>
      </c>
      <c r="K44" s="76">
        <f>IFERROR(VLOOKUP(A44,Calculations!$A$66:$AS$84,18,FALSE),"")</f>
        <v>23</v>
      </c>
      <c r="L44" s="76">
        <f>IFERROR(VLOOKUP(A44,Calculations!$A$66:$AS$84,19,FALSE),"")</f>
        <v>23</v>
      </c>
      <c r="M44" s="76" t="str">
        <f>IFERROR(VLOOKUP(A44,Calculations!$A$66:$AS$84,20,FALSE),"")</f>
        <v/>
      </c>
      <c r="N44" s="76" t="str">
        <f>IFERROR(VLOOKUP(A44,Calculations!$A$66:$AS$84,21,FALSE),"")</f>
        <v/>
      </c>
      <c r="O44" s="77">
        <f>IFERROR(VLOOKUP(A44,Calculations!$A$66:$AS$84,22,FALSE),"")</f>
        <v>0.56756756756756754</v>
      </c>
      <c r="P44" s="77">
        <f>IFERROR(VLOOKUP(A44,Calculations!$A$66:$AS$84,23,FALSE),"")</f>
        <v>0.64516129032258063</v>
      </c>
      <c r="Q44" s="77">
        <f>IFERROR(VLOOKUP(A44,Calculations!$A$66:$AS$84,24,FALSE),"")</f>
        <v>0.72972972972972971</v>
      </c>
      <c r="R44" s="77">
        <f>IFERROR(VLOOKUP(A44,Calculations!$A$66:$AS$84,25,FALSE),"")</f>
        <v>0.61111111111111116</v>
      </c>
      <c r="S44" s="77">
        <f>IFERROR(VLOOKUP(A44,Calculations!$A$66:$AS$84,26,FALSE),"")</f>
        <v>0.60526315789473684</v>
      </c>
      <c r="T44" s="77">
        <f>IFERROR(VLOOKUP(A44,Calculations!$A$66:$AS$84,27,FALSE),"")</f>
        <v>0.6216216216216216</v>
      </c>
      <c r="U44" s="77" t="str">
        <f>IFERROR(VLOOKUP(A44,Calculations!$A$66:$AS$84,28,FALSE),"")</f>
        <v/>
      </c>
      <c r="V44" s="77" t="str">
        <f>IFERROR(VLOOKUP(A44,Calculations!$A$66:$AS$84,29,FALSE),"")</f>
        <v/>
      </c>
      <c r="W44" s="58">
        <f>IFERROR(VLOOKUP(A44,Calculations!$A$66:$AS$84,30,FALSE),"")</f>
        <v>6</v>
      </c>
      <c r="X44" s="55">
        <f>IFERROR(VLOOKUP(A44,Calculations!$A$66:$AS$84,32,FALSE),"")</f>
        <v>0.65190593819626075</v>
      </c>
    </row>
    <row r="45" spans="1:25" ht="15" x14ac:dyDescent="0.3">
      <c r="A45" s="36">
        <v>4</v>
      </c>
      <c r="B45" s="35" t="str">
        <f>IFERROR(VLOOKUP(A45,Calculations!$A$66:$AS$84,6,FALSE),"")</f>
        <v>Michael Baxter</v>
      </c>
      <c r="C45" s="75">
        <f>IFERROR(VLOOKUP(A45,Calculations!$A$66:$AS$84,7,FALSE),"")</f>
        <v>1917</v>
      </c>
      <c r="D45" s="75" t="str">
        <f>IFERROR(VLOOKUP(A45,Calculations!$A$66:$AS$84,8,FALSE),"")</f>
        <v>C</v>
      </c>
      <c r="E45" s="75" t="str">
        <f>IFERROR(VLOOKUP(A45,Calculations!$A$66:$AS$84,11,FALSE),"")</f>
        <v>PCP</v>
      </c>
      <c r="F45" s="75" t="str">
        <f>IFERROR(VLOOKUP(A45,Calculations!$A$66:$AS$84,12,FALSE),"")</f>
        <v>Carisbrooke</v>
      </c>
      <c r="G45" s="76">
        <f>IFERROR(VLOOKUP(A45,Calculations!$A$66:$AS$84,14,FALSE),"")</f>
        <v>24</v>
      </c>
      <c r="H45" s="76">
        <f>IFERROR(VLOOKUP(A45,Calculations!$A$66:$AS$84,15,FALSE),"")</f>
        <v>18</v>
      </c>
      <c r="I45" s="76" t="str">
        <f>IFERROR(VLOOKUP(A45,Calculations!$A$66:$AS$84,16,FALSE),"")</f>
        <v/>
      </c>
      <c r="J45" s="76">
        <f>IFERROR(VLOOKUP(A45,Calculations!$A$66:$AS$84,17,FALSE),"")</f>
        <v>19</v>
      </c>
      <c r="K45" s="76">
        <f>IFERROR(VLOOKUP(A45,Calculations!$A$66:$AS$84,18,FALSE),"")</f>
        <v>26</v>
      </c>
      <c r="L45" s="76">
        <f>IFERROR(VLOOKUP(A45,Calculations!$A$66:$AS$84,19,FALSE),"")</f>
        <v>24</v>
      </c>
      <c r="M45" s="76" t="str">
        <f>IFERROR(VLOOKUP(A45,Calculations!$A$66:$AS$84,20,FALSE),"")</f>
        <v/>
      </c>
      <c r="N45" s="76" t="str">
        <f>IFERROR(VLOOKUP(A45,Calculations!$A$66:$AS$84,21,FALSE),"")</f>
        <v/>
      </c>
      <c r="O45" s="77">
        <f>IFERROR(VLOOKUP(A45,Calculations!$A$66:$AS$84,22,FALSE),"")</f>
        <v>0.64864864864864868</v>
      </c>
      <c r="P45" s="77">
        <f>IFERROR(VLOOKUP(A45,Calculations!$A$66:$AS$84,23,FALSE),"")</f>
        <v>0.58064516129032262</v>
      </c>
      <c r="Q45" s="77" t="str">
        <f>IFERROR(VLOOKUP(A45,Calculations!$A$66:$AS$84,24,FALSE),"")</f>
        <v/>
      </c>
      <c r="R45" s="77">
        <f>IFERROR(VLOOKUP(A45,Calculations!$A$66:$AS$84,25,FALSE),"")</f>
        <v>0.52777777777777779</v>
      </c>
      <c r="S45" s="77">
        <f>IFERROR(VLOOKUP(A45,Calculations!$A$66:$AS$84,26,FALSE),"")</f>
        <v>0.68421052631578949</v>
      </c>
      <c r="T45" s="77">
        <f>IFERROR(VLOOKUP(A45,Calculations!$A$66:$AS$84,27,FALSE),"")</f>
        <v>0.64864864864864868</v>
      </c>
      <c r="U45" s="77" t="str">
        <f>IFERROR(VLOOKUP(A45,Calculations!$A$66:$AS$84,28,FALSE),"")</f>
        <v/>
      </c>
      <c r="V45" s="77" t="str">
        <f>IFERROR(VLOOKUP(A45,Calculations!$A$66:$AS$84,29,FALSE),"")</f>
        <v/>
      </c>
      <c r="W45" s="58">
        <f>IFERROR(VLOOKUP(A45,Calculations!$A$66:$AS$84,30,FALSE),"")</f>
        <v>5</v>
      </c>
      <c r="X45" s="55">
        <f>IFERROR(VLOOKUP(A45,Calculations!$A$66:$AS$84,32,FALSE),"")</f>
        <v>0.64053824622585231</v>
      </c>
    </row>
    <row r="46" spans="1:25" ht="15" x14ac:dyDescent="0.3">
      <c r="A46" s="36">
        <v>5</v>
      </c>
      <c r="B46" s="35" t="str">
        <f>IFERROR(VLOOKUP(A46,Calculations!$A$66:$AS$84,6,FALSE),"")</f>
        <v>Kim Mulford</v>
      </c>
      <c r="C46" s="75">
        <f>IFERROR(VLOOKUP(A46,Calculations!$A$66:$AS$84,7,FALSE),"")</f>
        <v>1513</v>
      </c>
      <c r="D46" s="75" t="str">
        <f>IFERROR(VLOOKUP(A46,Calculations!$A$66:$AS$84,8,FALSE),"")</f>
        <v>C</v>
      </c>
      <c r="E46" s="75" t="str">
        <f>IFERROR(VLOOKUP(A46,Calculations!$A$66:$AS$84,11,FALSE),"")</f>
        <v>Piston</v>
      </c>
      <c r="F46" s="75" t="str">
        <f>IFERROR(VLOOKUP(A46,Calculations!$A$66:$AS$84,12,FALSE),"")</f>
        <v>Newbury</v>
      </c>
      <c r="G46" s="76" t="str">
        <f>IFERROR(VLOOKUP(A46,Calculations!$A$66:$AS$84,14,FALSE),"")</f>
        <v/>
      </c>
      <c r="H46" s="76" t="str">
        <f>IFERROR(VLOOKUP(A46,Calculations!$A$66:$AS$84,15,FALSE),"")</f>
        <v/>
      </c>
      <c r="I46" s="76">
        <f>IFERROR(VLOOKUP(A46,Calculations!$A$66:$AS$84,16,FALSE),"")</f>
        <v>26</v>
      </c>
      <c r="J46" s="76">
        <f>IFERROR(VLOOKUP(A46,Calculations!$A$66:$AS$84,17,FALSE),"")</f>
        <v>18</v>
      </c>
      <c r="K46" s="76">
        <f>IFERROR(VLOOKUP(A46,Calculations!$A$66:$AS$84,18,FALSE),"")</f>
        <v>20</v>
      </c>
      <c r="L46" s="76" t="str">
        <f>IFERROR(VLOOKUP(A46,Calculations!$A$66:$AS$84,19,FALSE),"")</f>
        <v/>
      </c>
      <c r="M46" s="76" t="str">
        <f>IFERROR(VLOOKUP(A46,Calculations!$A$66:$AS$84,20,FALSE),"")</f>
        <v/>
      </c>
      <c r="N46" s="76" t="str">
        <f>IFERROR(VLOOKUP(A46,Calculations!$A$66:$AS$84,21,FALSE),"")</f>
        <v/>
      </c>
      <c r="O46" s="77" t="str">
        <f>IFERROR(VLOOKUP(A46,Calculations!$A$66:$AS$84,22,FALSE),"")</f>
        <v/>
      </c>
      <c r="P46" s="77" t="str">
        <f>IFERROR(VLOOKUP(A46,Calculations!$A$66:$AS$84,23,FALSE),"")</f>
        <v/>
      </c>
      <c r="Q46" s="77">
        <f>IFERROR(VLOOKUP(A46,Calculations!$A$66:$AS$84,24,FALSE),"")</f>
        <v>0.70270270270270274</v>
      </c>
      <c r="R46" s="77">
        <f>IFERROR(VLOOKUP(A46,Calculations!$A$66:$AS$84,25,FALSE),"")</f>
        <v>0.5</v>
      </c>
      <c r="S46" s="77">
        <f>IFERROR(VLOOKUP(A46,Calculations!$A$66:$AS$84,26,FALSE),"")</f>
        <v>0.52631578947368418</v>
      </c>
      <c r="T46" s="77" t="str">
        <f>IFERROR(VLOOKUP(A46,Calculations!$A$66:$AS$84,27,FALSE),"")</f>
        <v/>
      </c>
      <c r="U46" s="77" t="str">
        <f>IFERROR(VLOOKUP(A46,Calculations!$A$66:$AS$84,28,FALSE),"")</f>
        <v/>
      </c>
      <c r="V46" s="77" t="str">
        <f>IFERROR(VLOOKUP(A46,Calculations!$A$66:$AS$84,29,FALSE),"")</f>
        <v/>
      </c>
      <c r="W46" s="58">
        <f>IFERROR(VLOOKUP(A46,Calculations!$A$66:$AS$84,30,FALSE),"")</f>
        <v>3</v>
      </c>
      <c r="X46" s="55">
        <f>IFERROR(VLOOKUP(A46,Calculations!$A$66:$AS$84,32,FALSE),"")</f>
        <v>0.57633949739212897</v>
      </c>
    </row>
    <row r="47" spans="1:25" ht="15" x14ac:dyDescent="0.3">
      <c r="A47" s="36">
        <v>6</v>
      </c>
      <c r="B47" s="35" t="str">
        <f>IFERROR(VLOOKUP(A47,Calculations!$A$66:$AS$84,6,FALSE),"")</f>
        <v>Josh Wood</v>
      </c>
      <c r="C47" s="75">
        <f>IFERROR(VLOOKUP(A47,Calculations!$A$66:$AS$84,7,FALSE),"")</f>
        <v>1904</v>
      </c>
      <c r="D47" s="75" t="str">
        <f>IFERROR(VLOOKUP(A47,Calculations!$A$66:$AS$84,8,FALSE),"")</f>
        <v>C</v>
      </c>
      <c r="E47" s="75" t="str">
        <f>IFERROR(VLOOKUP(A47,Calculations!$A$66:$AS$84,11,FALSE),"")</f>
        <v>PCP</v>
      </c>
      <c r="F47" s="75" t="str">
        <f>IFERROR(VLOOKUP(A47,Calculations!$A$66:$AS$84,12,FALSE),"")</f>
        <v>Meon</v>
      </c>
      <c r="G47" s="76">
        <f>IFERROR(VLOOKUP(A47,Calculations!$A$66:$AS$84,14,FALSE),"")</f>
        <v>18</v>
      </c>
      <c r="H47" s="76" t="str">
        <f>IFERROR(VLOOKUP(A47,Calculations!$A$66:$AS$84,15,FALSE),"")</f>
        <v/>
      </c>
      <c r="I47" s="76" t="str">
        <f>IFERROR(VLOOKUP(A47,Calculations!$A$66:$AS$84,16,FALSE),"")</f>
        <v/>
      </c>
      <c r="J47" s="76" t="str">
        <f>IFERROR(VLOOKUP(A47,Calculations!$A$66:$AS$84,17,FALSE),"")</f>
        <v/>
      </c>
      <c r="K47" s="76" t="str">
        <f>IFERROR(VLOOKUP(A47,Calculations!$A$66:$AS$84,18,FALSE),"")</f>
        <v/>
      </c>
      <c r="L47" s="76" t="str">
        <f>IFERROR(VLOOKUP(A47,Calculations!$A$66:$AS$84,19,FALSE),"")</f>
        <v/>
      </c>
      <c r="M47" s="76" t="str">
        <f>IFERROR(VLOOKUP(A47,Calculations!$A$66:$AS$84,20,FALSE),"")</f>
        <v/>
      </c>
      <c r="N47" s="76" t="str">
        <f>IFERROR(VLOOKUP(A47,Calculations!$A$66:$AS$84,21,FALSE),"")</f>
        <v/>
      </c>
      <c r="O47" s="77">
        <f>IFERROR(VLOOKUP(A47,Calculations!$A$66:$AS$84,22,FALSE),"")</f>
        <v>0.48648648648648651</v>
      </c>
      <c r="P47" s="77" t="str">
        <f>IFERROR(VLOOKUP(A47,Calculations!$A$66:$AS$84,23,FALSE),"")</f>
        <v/>
      </c>
      <c r="Q47" s="77" t="str">
        <f>IFERROR(VLOOKUP(A47,Calculations!$A$66:$AS$84,24,FALSE),"")</f>
        <v/>
      </c>
      <c r="R47" s="77" t="str">
        <f>IFERROR(VLOOKUP(A47,Calculations!$A$66:$AS$84,25,FALSE),"")</f>
        <v/>
      </c>
      <c r="S47" s="77" t="str">
        <f>IFERROR(VLOOKUP(A47,Calculations!$A$66:$AS$84,26,FALSE),"")</f>
        <v/>
      </c>
      <c r="T47" s="77" t="str">
        <f>IFERROR(VLOOKUP(A47,Calculations!$A$66:$AS$84,27,FALSE),"")</f>
        <v/>
      </c>
      <c r="U47" s="77" t="str">
        <f>IFERROR(VLOOKUP(A47,Calculations!$A$66:$AS$84,28,FALSE),"")</f>
        <v/>
      </c>
      <c r="V47" s="77" t="str">
        <f>IFERROR(VLOOKUP(A47,Calculations!$A$66:$AS$84,29,FALSE),"")</f>
        <v/>
      </c>
      <c r="W47" s="58">
        <f>IFERROR(VLOOKUP(A47,Calculations!$A$66:$AS$84,30,FALSE),"")</f>
        <v>1</v>
      </c>
      <c r="X47" s="55">
        <f>IFERROR(VLOOKUP(A47,Calculations!$A$66:$AS$84,32,FALSE),"")</f>
        <v>0.48648648648648651</v>
      </c>
    </row>
    <row r="48" spans="1:25" ht="15" x14ac:dyDescent="0.3">
      <c r="A48" s="36">
        <v>7</v>
      </c>
      <c r="B48" s="35" t="str">
        <f>IFERROR(VLOOKUP(A48,Calculations!$A$66:$AS$84,6,FALSE),"")</f>
        <v>Richard Bright</v>
      </c>
      <c r="C48" s="75">
        <f>IFERROR(VLOOKUP(A48,Calculations!$A$66:$AS$84,7,FALSE),"")</f>
        <v>1654</v>
      </c>
      <c r="D48" s="75" t="str">
        <f>IFERROR(VLOOKUP(A48,Calculations!$A$66:$AS$84,8,FALSE),"")</f>
        <v>C</v>
      </c>
      <c r="E48" s="75" t="str">
        <f>IFERROR(VLOOKUP(A48,Calculations!$A$66:$AS$84,11,FALSE),"")</f>
        <v>PCP</v>
      </c>
      <c r="F48" s="75" t="str">
        <f>IFERROR(VLOOKUP(A48,Calculations!$A$66:$AS$84,12,FALSE),"")</f>
        <v>Newbury</v>
      </c>
      <c r="G48" s="76">
        <f>IFERROR(VLOOKUP(A48,Calculations!$A$66:$AS$84,14,FALSE),"")</f>
        <v>14</v>
      </c>
      <c r="H48" s="76">
        <f>IFERROR(VLOOKUP(A48,Calculations!$A$66:$AS$84,15,FALSE),"")</f>
        <v>12</v>
      </c>
      <c r="I48" s="76">
        <f>IFERROR(VLOOKUP(A48,Calculations!$A$66:$AS$84,16,FALSE),"")</f>
        <v>20</v>
      </c>
      <c r="J48" s="76" t="str">
        <f>IFERROR(VLOOKUP(A48,Calculations!$A$66:$AS$84,17,FALSE),"")</f>
        <v/>
      </c>
      <c r="K48" s="76" t="str">
        <f>IFERROR(VLOOKUP(A48,Calculations!$A$66:$AS$84,18,FALSE),"")</f>
        <v/>
      </c>
      <c r="L48" s="76" t="str">
        <f>IFERROR(VLOOKUP(A48,Calculations!$A$66:$AS$84,19,FALSE),"")</f>
        <v/>
      </c>
      <c r="M48" s="76" t="str">
        <f>IFERROR(VLOOKUP(A48,Calculations!$A$66:$AS$84,20,FALSE),"")</f>
        <v/>
      </c>
      <c r="N48" s="76" t="str">
        <f>IFERROR(VLOOKUP(A48,Calculations!$A$66:$AS$84,21,FALSE),"")</f>
        <v/>
      </c>
      <c r="O48" s="77">
        <f>IFERROR(VLOOKUP(A48,Calculations!$A$66:$AS$84,22,FALSE),"")</f>
        <v>0.3783783783783784</v>
      </c>
      <c r="P48" s="77">
        <f>IFERROR(VLOOKUP(A48,Calculations!$A$66:$AS$84,23,FALSE),"")</f>
        <v>0.38709677419354838</v>
      </c>
      <c r="Q48" s="77">
        <f>IFERROR(VLOOKUP(A48,Calculations!$A$66:$AS$84,24,FALSE),"")</f>
        <v>0.54054054054054057</v>
      </c>
      <c r="R48" s="77" t="str">
        <f>IFERROR(VLOOKUP(A48,Calculations!$A$66:$AS$84,25,FALSE),"")</f>
        <v/>
      </c>
      <c r="S48" s="77" t="str">
        <f>IFERROR(VLOOKUP(A48,Calculations!$A$66:$AS$84,26,FALSE),"")</f>
        <v/>
      </c>
      <c r="T48" s="77" t="str">
        <f>IFERROR(VLOOKUP(A48,Calculations!$A$66:$AS$84,27,FALSE),"")</f>
        <v/>
      </c>
      <c r="U48" s="77" t="str">
        <f>IFERROR(VLOOKUP(A48,Calculations!$A$66:$AS$84,28,FALSE),"")</f>
        <v/>
      </c>
      <c r="V48" s="77" t="str">
        <f>IFERROR(VLOOKUP(A48,Calculations!$A$66:$AS$84,29,FALSE),"")</f>
        <v/>
      </c>
      <c r="W48" s="58">
        <f>IFERROR(VLOOKUP(A48,Calculations!$A$66:$AS$84,30,FALSE),"")</f>
        <v>3</v>
      </c>
      <c r="X48" s="55">
        <f>IFERROR(VLOOKUP(A48,Calculations!$A$66:$AS$84,32,FALSE),"")</f>
        <v>0.43533856437082247</v>
      </c>
    </row>
    <row r="49" spans="1:25" ht="15" hidden="1" x14ac:dyDescent="0.3">
      <c r="A49" s="36">
        <v>8</v>
      </c>
      <c r="B49" s="35" t="str">
        <f>IFERROR(VLOOKUP(A49,Calculations!$A$66:$AS$84,6,FALSE),"")</f>
        <v/>
      </c>
      <c r="C49" s="75" t="str">
        <f>IFERROR(VLOOKUP(A49,Calculations!$A$66:$AS$84,7,FALSE),"")</f>
        <v/>
      </c>
      <c r="D49" s="75" t="str">
        <f>IFERROR(VLOOKUP(A49,Calculations!$A$66:$AS$84,8,FALSE),"")</f>
        <v/>
      </c>
      <c r="E49" s="75" t="str">
        <f>IFERROR(VLOOKUP(A49,Calculations!$A$66:$AS$84,11,FALSE),"")</f>
        <v/>
      </c>
      <c r="F49" s="75" t="str">
        <f>IFERROR(VLOOKUP(A49,Calculations!$A$66:$AS$84,12,FALSE),"")</f>
        <v/>
      </c>
      <c r="G49" s="76" t="str">
        <f>IFERROR(VLOOKUP(A49,Calculations!$A$66:$AS$84,14,FALSE),"")</f>
        <v/>
      </c>
      <c r="H49" s="76" t="str">
        <f>IFERROR(VLOOKUP(A49,Calculations!$A$66:$AS$84,15,FALSE),"")</f>
        <v/>
      </c>
      <c r="I49" s="76" t="str">
        <f>IFERROR(VLOOKUP(A49,Calculations!$A$66:$AS$84,16,FALSE),"")</f>
        <v/>
      </c>
      <c r="J49" s="76" t="str">
        <f>IFERROR(VLOOKUP(A49,Calculations!$A$66:$AS$84,17,FALSE),"")</f>
        <v/>
      </c>
      <c r="K49" s="76" t="str">
        <f>IFERROR(VLOOKUP(A49,Calculations!$A$66:$AS$84,18,FALSE),"")</f>
        <v/>
      </c>
      <c r="L49" s="76" t="str">
        <f>IFERROR(VLOOKUP(A49,Calculations!$A$66:$AS$84,19,FALSE),"")</f>
        <v/>
      </c>
      <c r="M49" s="76" t="str">
        <f>IFERROR(VLOOKUP(A49,Calculations!$A$66:$AS$84,20,FALSE),"")</f>
        <v/>
      </c>
      <c r="N49" s="76" t="str">
        <f>IFERROR(VLOOKUP(A49,Calculations!$A$66:$AS$84,21,FALSE),"")</f>
        <v/>
      </c>
      <c r="O49" s="77" t="str">
        <f>IFERROR(VLOOKUP(A49,Calculations!$A$66:$AS$84,22,FALSE),"")</f>
        <v/>
      </c>
      <c r="P49" s="77" t="str">
        <f>IFERROR(VLOOKUP(A49,Calculations!$A$66:$AS$84,23,FALSE),"")</f>
        <v/>
      </c>
      <c r="Q49" s="77" t="str">
        <f>IFERROR(VLOOKUP(A49,Calculations!$A$66:$AS$84,24,FALSE),"")</f>
        <v/>
      </c>
      <c r="R49" s="77" t="str">
        <f>IFERROR(VLOOKUP(A49,Calculations!$A$66:$AS$84,25,FALSE),"")</f>
        <v/>
      </c>
      <c r="S49" s="77" t="str">
        <f>IFERROR(VLOOKUP(A49,Calculations!$A$66:$AS$84,26,FALSE),"")</f>
        <v/>
      </c>
      <c r="T49" s="77" t="str">
        <f>IFERROR(VLOOKUP(A49,Calculations!$A$66:$AS$84,27,FALSE),"")</f>
        <v/>
      </c>
      <c r="U49" s="77" t="str">
        <f>IFERROR(VLOOKUP(A49,Calculations!$A$66:$AS$84,28,FALSE),"")</f>
        <v/>
      </c>
      <c r="V49" s="77" t="str">
        <f>IFERROR(VLOOKUP(A49,Calculations!$A$66:$AS$84,29,FALSE),"")</f>
        <v/>
      </c>
      <c r="W49" s="58" t="str">
        <f>IFERROR(VLOOKUP(A49,Calculations!$A$66:$AS$84,30,FALSE),"")</f>
        <v/>
      </c>
      <c r="X49" s="55" t="str">
        <f>IFERROR(VLOOKUP(A49,Calculations!$A$66:$AS$84,31,FALSE),"")</f>
        <v/>
      </c>
    </row>
    <row r="50" spans="1:25" ht="15" hidden="1" x14ac:dyDescent="0.3">
      <c r="A50" s="36" t="s">
        <v>207</v>
      </c>
      <c r="B50" s="35" t="str">
        <f>IFERROR(VLOOKUP(A50,Calculations!$A$66:$AS$84,6,FALSE),"")</f>
        <v/>
      </c>
      <c r="C50" s="75" t="str">
        <f>IFERROR(VLOOKUP(A50,Calculations!$A$66:$AS$84,7,FALSE),"")</f>
        <v/>
      </c>
      <c r="D50" s="75" t="str">
        <f>IFERROR(VLOOKUP(A50,Calculations!$A$66:$AS$84,8,FALSE),"")</f>
        <v/>
      </c>
      <c r="E50" s="75" t="str">
        <f>IFERROR(VLOOKUP(A50,Calculations!$A$66:$AS$84,11,FALSE),"")</f>
        <v/>
      </c>
      <c r="F50" s="75" t="str">
        <f>IFERROR(VLOOKUP(A50,Calculations!$A$66:$AS$84,12,FALSE),"")</f>
        <v/>
      </c>
      <c r="G50" s="76" t="str">
        <f>IFERROR(VLOOKUP(A50,Calculations!$A$66:$AS$84,14,FALSE),"")</f>
        <v/>
      </c>
      <c r="H50" s="76" t="str">
        <f>IFERROR(VLOOKUP(A50,Calculations!$A$66:$AS$84,15,FALSE),"")</f>
        <v/>
      </c>
      <c r="I50" s="76" t="str">
        <f>IFERROR(VLOOKUP(A50,Calculations!$A$66:$AS$84,16,FALSE),"")</f>
        <v/>
      </c>
      <c r="J50" s="76" t="str">
        <f>IFERROR(VLOOKUP(A50,Calculations!$A$66:$AS$84,17,FALSE),"")</f>
        <v/>
      </c>
      <c r="K50" s="76" t="str">
        <f>IFERROR(VLOOKUP(A50,Calculations!$A$66:$AS$84,18,FALSE),"")</f>
        <v/>
      </c>
      <c r="L50" s="76" t="str">
        <f>IFERROR(VLOOKUP(A50,Calculations!$A$66:$AS$84,19,FALSE),"")</f>
        <v/>
      </c>
      <c r="M50" s="76" t="str">
        <f>IFERROR(VLOOKUP(A50,Calculations!$A$66:$AS$84,20,FALSE),"")</f>
        <v/>
      </c>
      <c r="N50" s="76" t="str">
        <f>IFERROR(VLOOKUP(A50,Calculations!$A$66:$AS$84,21,FALSE),"")</f>
        <v/>
      </c>
      <c r="O50" s="77" t="str">
        <f>IFERROR(VLOOKUP(A50,Calculations!$A$66:$AS$84,22,FALSE),"")</f>
        <v/>
      </c>
      <c r="P50" s="77" t="str">
        <f>IFERROR(VLOOKUP(A50,Calculations!$A$66:$AS$84,23,FALSE),"")</f>
        <v/>
      </c>
      <c r="Q50" s="77" t="str">
        <f>IFERROR(VLOOKUP(A50,Calculations!$A$66:$AS$84,24,FALSE),"")</f>
        <v/>
      </c>
      <c r="R50" s="77" t="str">
        <f>IFERROR(VLOOKUP(A50,Calculations!$A$66:$AS$84,25,FALSE),"")</f>
        <v/>
      </c>
      <c r="S50" s="77" t="str">
        <f>IFERROR(VLOOKUP(A50,Calculations!$A$66:$AS$84,26,FALSE),"")</f>
        <v/>
      </c>
      <c r="T50" s="77" t="str">
        <f>IFERROR(VLOOKUP(A50,Calculations!$A$66:$AS$84,27,FALSE),"")</f>
        <v/>
      </c>
      <c r="U50" s="77" t="str">
        <f>IFERROR(VLOOKUP(A50,Calculations!$A$66:$AS$84,28,FALSE),"")</f>
        <v/>
      </c>
      <c r="V50" s="77" t="str">
        <f>IFERROR(VLOOKUP(A50,Calculations!$A$66:$AS$84,29,FALSE),"")</f>
        <v/>
      </c>
      <c r="W50" s="58" t="str">
        <f>IFERROR(VLOOKUP(A50,Calculations!$A$66:$AS$84,30,FALSE),"")</f>
        <v/>
      </c>
      <c r="X50" s="55" t="str">
        <f>IFERROR(VLOOKUP(A50,Calculations!$A$66:$AS$84,31,FALSE),"")</f>
        <v/>
      </c>
    </row>
    <row r="51" spans="1:25" ht="15" hidden="1" x14ac:dyDescent="0.3">
      <c r="A51" s="36">
        <v>10</v>
      </c>
      <c r="B51" s="35" t="str">
        <f>IFERROR(VLOOKUP(A51,Calculations!$A$66:$AS$84,6,FALSE),"")</f>
        <v/>
      </c>
      <c r="C51" s="75" t="str">
        <f>IFERROR(VLOOKUP(A51,Calculations!$A$66:$AS$84,7,FALSE),"")</f>
        <v/>
      </c>
      <c r="D51" s="75" t="str">
        <f>IFERROR(VLOOKUP(A51,Calculations!$A$66:$AS$84,8,FALSE),"")</f>
        <v/>
      </c>
      <c r="E51" s="75" t="str">
        <f>IFERROR(VLOOKUP(A51,Calculations!$A$66:$AS$84,11,FALSE),"")</f>
        <v/>
      </c>
      <c r="F51" s="75" t="str">
        <f>IFERROR(VLOOKUP(A51,Calculations!$A$66:$AS$84,12,FALSE),"")</f>
        <v/>
      </c>
      <c r="G51" s="76" t="str">
        <f>IFERROR(VLOOKUP(A51,Calculations!$A$66:$AS$84,14,FALSE),"")</f>
        <v/>
      </c>
      <c r="H51" s="76" t="str">
        <f>IFERROR(VLOOKUP(A51,Calculations!$A$66:$AS$84,15,FALSE),"")</f>
        <v/>
      </c>
      <c r="I51" s="76" t="str">
        <f>IFERROR(VLOOKUP(A51,Calculations!$A$66:$AS$84,16,FALSE),"")</f>
        <v/>
      </c>
      <c r="J51" s="76" t="str">
        <f>IFERROR(VLOOKUP(A51,Calculations!$A$66:$AS$84,17,FALSE),"")</f>
        <v/>
      </c>
      <c r="K51" s="76" t="str">
        <f>IFERROR(VLOOKUP(A51,Calculations!$A$66:$AS$84,18,FALSE),"")</f>
        <v/>
      </c>
      <c r="L51" s="76" t="str">
        <f>IFERROR(VLOOKUP(A51,Calculations!$A$66:$AS$84,19,FALSE),"")</f>
        <v/>
      </c>
      <c r="M51" s="76" t="str">
        <f>IFERROR(VLOOKUP(A51,Calculations!$A$66:$AS$84,20,FALSE),"")</f>
        <v/>
      </c>
      <c r="N51" s="76" t="str">
        <f>IFERROR(VLOOKUP(A51,Calculations!$A$66:$AS$84,21,FALSE),"")</f>
        <v/>
      </c>
      <c r="O51" s="77" t="str">
        <f>IFERROR(VLOOKUP(A51,Calculations!$A$66:$AS$84,22,FALSE),"")</f>
        <v/>
      </c>
      <c r="P51" s="77" t="str">
        <f>IFERROR(VLOOKUP(A51,Calculations!$A$66:$AS$84,23,FALSE),"")</f>
        <v/>
      </c>
      <c r="Q51" s="77" t="str">
        <f>IFERROR(VLOOKUP(A51,Calculations!$A$66:$AS$84,24,FALSE),"")</f>
        <v/>
      </c>
      <c r="R51" s="77" t="str">
        <f>IFERROR(VLOOKUP(A51,Calculations!$A$66:$AS$84,25,FALSE),"")</f>
        <v/>
      </c>
      <c r="S51" s="77" t="str">
        <f>IFERROR(VLOOKUP(A51,Calculations!$A$66:$AS$84,26,FALSE),"")</f>
        <v/>
      </c>
      <c r="T51" s="77" t="str">
        <f>IFERROR(VLOOKUP(A51,Calculations!$A$66:$AS$84,27,FALSE),"")</f>
        <v/>
      </c>
      <c r="U51" s="77" t="str">
        <f>IFERROR(VLOOKUP(A51,Calculations!$A$66:$AS$84,28,FALSE),"")</f>
        <v/>
      </c>
      <c r="V51" s="77" t="str">
        <f>IFERROR(VLOOKUP(A51,Calculations!$A$66:$AS$84,29,FALSE),"")</f>
        <v/>
      </c>
      <c r="W51" s="58" t="str">
        <f>IFERROR(VLOOKUP(A51,Calculations!$A$66:$AS$84,30,FALSE),"")</f>
        <v/>
      </c>
      <c r="X51" s="55" t="str">
        <f>IFERROR(VLOOKUP(A51,Calculations!$A$66:$AS$84,31,FALSE),"")</f>
        <v/>
      </c>
    </row>
    <row r="52" spans="1:25" ht="27" customHeight="1" x14ac:dyDescent="0.3">
      <c r="A52" s="128" t="s">
        <v>200</v>
      </c>
      <c r="B52" s="70" t="s">
        <v>0</v>
      </c>
      <c r="C52" s="70" t="s">
        <v>1</v>
      </c>
      <c r="D52" s="70" t="s">
        <v>2</v>
      </c>
      <c r="E52" s="70" t="s">
        <v>3</v>
      </c>
      <c r="F52" s="70" t="s">
        <v>4</v>
      </c>
      <c r="G52" s="71" t="s">
        <v>150</v>
      </c>
      <c r="H52" s="71" t="s">
        <v>151</v>
      </c>
      <c r="I52" s="71" t="s">
        <v>152</v>
      </c>
      <c r="J52" s="71" t="s">
        <v>153</v>
      </c>
      <c r="K52" s="71" t="s">
        <v>154</v>
      </c>
      <c r="L52" s="71" t="s">
        <v>155</v>
      </c>
      <c r="M52" s="71" t="s">
        <v>156</v>
      </c>
      <c r="N52" s="71" t="s">
        <v>157</v>
      </c>
      <c r="O52" s="72" t="s">
        <v>150</v>
      </c>
      <c r="P52" s="72" t="s">
        <v>151</v>
      </c>
      <c r="Q52" s="72" t="s">
        <v>152</v>
      </c>
      <c r="R52" s="72" t="s">
        <v>153</v>
      </c>
      <c r="S52" s="72" t="s">
        <v>154</v>
      </c>
      <c r="T52" s="72" t="s">
        <v>155</v>
      </c>
      <c r="U52" s="72" t="s">
        <v>156</v>
      </c>
      <c r="V52" s="72" t="s">
        <v>157</v>
      </c>
      <c r="W52" s="73" t="s">
        <v>166</v>
      </c>
      <c r="X52" s="73" t="s">
        <v>167</v>
      </c>
      <c r="Y52" s="74"/>
    </row>
    <row r="53" spans="1:25" ht="15" x14ac:dyDescent="0.3">
      <c r="A53" s="36">
        <v>1</v>
      </c>
      <c r="B53" s="35" t="str">
        <f>IFERROR(VLOOKUP(A53,Calculations!$A$85:$AS$105,6,FALSE),"")</f>
        <v>James Woodhead</v>
      </c>
      <c r="C53" s="75">
        <f>IFERROR(VLOOKUP(A53,Calculations!$A$85:$AS$105,7,FALSE),"")</f>
        <v>60</v>
      </c>
      <c r="D53" s="75" t="str">
        <f>IFERROR(VLOOKUP(A53,Calculations!$A$85:$AS$105,8,FALSE),"")</f>
        <v>U/G</v>
      </c>
      <c r="E53" s="75" t="str">
        <f>IFERROR(VLOOKUP(A53,Calculations!$A$85:$AS$105,11,FALSE),"")</f>
        <v>PCP</v>
      </c>
      <c r="F53" s="75" t="str">
        <f>IFERROR(VLOOKUP(A53,Calculations!$A$85:$AS$105,12,FALSE),"")</f>
        <v>Frobury</v>
      </c>
      <c r="G53" s="76">
        <f>IFERROR(VLOOKUP(A53,Calculations!$A$85:$AS$105,14,FALSE),"")</f>
        <v>36</v>
      </c>
      <c r="H53" s="76" t="str">
        <f>IFERROR(VLOOKUP(A53,Calculations!$A$85:$AS$105,15,FALSE),"")</f>
        <v/>
      </c>
      <c r="I53" s="76" t="str">
        <f>IFERROR(VLOOKUP(A53,Calculations!$A$85:$AS$105,16,FALSE),"")</f>
        <v/>
      </c>
      <c r="J53" s="76" t="str">
        <f>IFERROR(VLOOKUP(A53,Calculations!$A$85:$AS$105,17,FALSE),"")</f>
        <v/>
      </c>
      <c r="K53" s="76" t="str">
        <f>IFERROR(VLOOKUP(A53,Calculations!$A$85:$AS$105,18,FALSE),"")</f>
        <v/>
      </c>
      <c r="L53" s="76" t="str">
        <f>IFERROR(VLOOKUP(A53,Calculations!$A$85:$AS$105,19,FALSE),"")</f>
        <v/>
      </c>
      <c r="M53" s="76" t="str">
        <f>IFERROR(VLOOKUP(A53,Calculations!$A$85:$AS$105,20,FALSE),"")</f>
        <v/>
      </c>
      <c r="N53" s="76" t="str">
        <f>IFERROR(VLOOKUP(A53,Calculations!$A$85:$AS$105,21,FALSE),"")</f>
        <v/>
      </c>
      <c r="O53" s="77">
        <f>IFERROR(VLOOKUP(A53,Calculations!$A$85:$AS$105,22,FALSE),"")</f>
        <v>0.97297297297297303</v>
      </c>
      <c r="P53" s="77" t="str">
        <f>IFERROR(VLOOKUP(A53,Calculations!$A$85:$AS$105,23,FALSE),"")</f>
        <v/>
      </c>
      <c r="Q53" s="77" t="str">
        <f>IFERROR(VLOOKUP(A53,Calculations!$A$85:$AS$105,24,FALSE),"")</f>
        <v/>
      </c>
      <c r="R53" s="77" t="str">
        <f>IFERROR(VLOOKUP(A53,Calculations!$A$85:$AS$105,25,FALSE),"")</f>
        <v/>
      </c>
      <c r="S53" s="77" t="str">
        <f>IFERROR(VLOOKUP(A53,Calculations!$A$85:$AS$105,26,FALSE),"")</f>
        <v/>
      </c>
      <c r="T53" s="77" t="str">
        <f>IFERROR(VLOOKUP(A53,Calculations!$A$85:$AS$105,27,FALSE),"")</f>
        <v/>
      </c>
      <c r="U53" s="77" t="str">
        <f>IFERROR(VLOOKUP(A53,Calculations!$A$85:$AS$105,28,FALSE),"")</f>
        <v/>
      </c>
      <c r="V53" s="77" t="str">
        <f>IFERROR(VLOOKUP(A53,Calculations!$A$85:$AS$105,29,FALSE),"")</f>
        <v/>
      </c>
      <c r="W53" s="58">
        <f>IFERROR(VLOOKUP(A53,Calculations!$A$85:$AS$105,30,FALSE),"")</f>
        <v>1</v>
      </c>
      <c r="X53" s="55">
        <f>IFERROR(VLOOKUP(A53,Calculations!$A$85:$AS$105,32,FALSE),"")</f>
        <v>0.97297297297297303</v>
      </c>
    </row>
    <row r="54" spans="1:25" ht="15" x14ac:dyDescent="0.3">
      <c r="A54" s="36">
        <v>2</v>
      </c>
      <c r="B54" s="35" t="str">
        <f>IFERROR(VLOOKUP(A54,Calculations!$A$85:$AS$105,6,FALSE),"")</f>
        <v>Simon Treacher</v>
      </c>
      <c r="C54" s="75" t="str">
        <f>IFERROR(VLOOKUP(A54,Calculations!$A$85:$AS$105,7,FALSE),"")</f>
        <v/>
      </c>
      <c r="D54" s="75" t="str">
        <f>IFERROR(VLOOKUP(A54,Calculations!$A$85:$AS$105,8,FALSE),"")</f>
        <v>U/G</v>
      </c>
      <c r="E54" s="75" t="str">
        <f>IFERROR(VLOOKUP(A54,Calculations!$A$85:$AS$105,11,FALSE),"")</f>
        <v>PCP</v>
      </c>
      <c r="F54" s="75" t="str">
        <f>IFERROR(VLOOKUP(A54,Calculations!$A$85:$AS$105,12,FALSE),"")</f>
        <v>Buccaneers</v>
      </c>
      <c r="G54" s="76" t="str">
        <f>IFERROR(VLOOKUP(A54,Calculations!$A$85:$AS$105,14,FALSE),"")</f>
        <v/>
      </c>
      <c r="H54" s="76" t="str">
        <f>IFERROR(VLOOKUP(A54,Calculations!$A$85:$AS$105,15,FALSE),"")</f>
        <v/>
      </c>
      <c r="I54" s="76">
        <f>IFERROR(VLOOKUP(A54,Calculations!$A$85:$AS$105,16,FALSE),"")</f>
        <v>34</v>
      </c>
      <c r="J54" s="76" t="str">
        <f>IFERROR(VLOOKUP(A54,Calculations!$A$85:$AS$105,17,FALSE),"")</f>
        <v/>
      </c>
      <c r="K54" s="76" t="str">
        <f>IFERROR(VLOOKUP(A54,Calculations!$A$85:$AS$105,18,FALSE),"")</f>
        <v/>
      </c>
      <c r="L54" s="76" t="str">
        <f>IFERROR(VLOOKUP(A54,Calculations!$A$85:$AS$105,19,FALSE),"")</f>
        <v/>
      </c>
      <c r="M54" s="76" t="str">
        <f>IFERROR(VLOOKUP(A54,Calculations!$A$85:$AS$105,20,FALSE),"")</f>
        <v/>
      </c>
      <c r="N54" s="76" t="str">
        <f>IFERROR(VLOOKUP(A54,Calculations!$A$85:$AS$105,21,FALSE),"")</f>
        <v/>
      </c>
      <c r="O54" s="77" t="str">
        <f>IFERROR(VLOOKUP(A54,Calculations!$A$85:$AS$105,22,FALSE),"")</f>
        <v/>
      </c>
      <c r="P54" s="77" t="str">
        <f>IFERROR(VLOOKUP(A54,Calculations!$A$85:$AS$105,23,FALSE),"")</f>
        <v/>
      </c>
      <c r="Q54" s="77">
        <f>IFERROR(VLOOKUP(A54,Calculations!$A$85:$AS$105,24,FALSE),"")</f>
        <v>0.91891891891891897</v>
      </c>
      <c r="R54" s="77" t="str">
        <f>IFERROR(VLOOKUP(A54,Calculations!$A$85:$AS$105,25,FALSE),"")</f>
        <v/>
      </c>
      <c r="S54" s="77" t="str">
        <f>IFERROR(VLOOKUP(A54,Calculations!$A$85:$AS$105,26,FALSE),"")</f>
        <v/>
      </c>
      <c r="T54" s="77" t="str">
        <f>IFERROR(VLOOKUP(A54,Calculations!$A$85:$AS$105,27,FALSE),"")</f>
        <v/>
      </c>
      <c r="U54" s="77" t="str">
        <f>IFERROR(VLOOKUP(A54,Calculations!$A$85:$AS$105,28,FALSE),"")</f>
        <v/>
      </c>
      <c r="V54" s="77" t="str">
        <f>IFERROR(VLOOKUP(A54,Calculations!$A$85:$AS$105,29,FALSE),"")</f>
        <v/>
      </c>
      <c r="W54" s="58">
        <f>IFERROR(VLOOKUP(A54,Calculations!$A$85:$AS$105,30,FALSE),"")</f>
        <v>1</v>
      </c>
      <c r="X54" s="55">
        <f>IFERROR(VLOOKUP(A54,Calculations!$A$85:$AS$105,32,FALSE),"")</f>
        <v>0.91891891891891897</v>
      </c>
    </row>
    <row r="55" spans="1:25" ht="15" x14ac:dyDescent="0.3">
      <c r="A55" s="36">
        <v>3</v>
      </c>
      <c r="B55" s="35" t="str">
        <f>IFERROR(VLOOKUP(A55,Calculations!$A$85:$AS$105,6,FALSE),"")</f>
        <v>Brian Holland</v>
      </c>
      <c r="C55" s="75">
        <f>IFERROR(VLOOKUP(A55,Calculations!$A$85:$AS$105,7,FALSE),"")</f>
        <v>60627</v>
      </c>
      <c r="D55" s="75" t="str">
        <f>IFERROR(VLOOKUP(A55,Calculations!$A$85:$AS$105,8,FALSE),"")</f>
        <v>U/G</v>
      </c>
      <c r="E55" s="75" t="str">
        <f>IFERROR(VLOOKUP(A55,Calculations!$A$85:$AS$105,11,FALSE),"")</f>
        <v>PCP</v>
      </c>
      <c r="F55" s="75" t="str">
        <f>IFERROR(VLOOKUP(A55,Calculations!$A$85:$AS$105,12,FALSE),"")</f>
        <v>Frobury</v>
      </c>
      <c r="G55" s="76">
        <f>IFERROR(VLOOKUP(A55,Calculations!$A$85:$AS$105,14,FALSE),"")</f>
        <v>0</v>
      </c>
      <c r="H55" s="76">
        <f>IFERROR(VLOOKUP(A55,Calculations!$A$85:$AS$105,15,FALSE),"")</f>
        <v>0</v>
      </c>
      <c r="I55" s="76">
        <f>IFERROR(VLOOKUP(A55,Calculations!$A$85:$AS$105,16,FALSE),"")</f>
        <v>0</v>
      </c>
      <c r="J55" s="76">
        <f>IFERROR(VLOOKUP(A55,Calculations!$A$85:$AS$105,17,FALSE),"")</f>
        <v>0</v>
      </c>
      <c r="K55" s="76">
        <f>IFERROR(VLOOKUP(A55,Calculations!$A$85:$AS$105,18,FALSE),"")</f>
        <v>0</v>
      </c>
      <c r="L55" s="76">
        <f>IFERROR(VLOOKUP(A55,Calculations!$A$85:$AS$105,19,FALSE),"")</f>
        <v>30</v>
      </c>
      <c r="M55" s="76">
        <f>IFERROR(VLOOKUP(A55,Calculations!$A$85:$AS$105,20,FALSE),"")</f>
        <v>0</v>
      </c>
      <c r="N55" s="76">
        <f>IFERROR(VLOOKUP(A55,Calculations!$A$85:$AS$105,21,FALSE),"")</f>
        <v>0</v>
      </c>
      <c r="O55" s="77">
        <f>IFERROR(VLOOKUP(A55,Calculations!$A$85:$AS$105,22,FALSE),"")</f>
        <v>0</v>
      </c>
      <c r="P55" s="77">
        <f>IFERROR(VLOOKUP(A55,Calculations!$A$85:$AS$105,23,FALSE),"")</f>
        <v>0</v>
      </c>
      <c r="Q55" s="77">
        <f>IFERROR(VLOOKUP(A55,Calculations!$A$85:$AS$105,24,FALSE),"")</f>
        <v>0</v>
      </c>
      <c r="R55" s="77">
        <f>IFERROR(VLOOKUP(A55,Calculations!$A$85:$AS$105,25,FALSE),"")</f>
        <v>0</v>
      </c>
      <c r="S55" s="77">
        <f>IFERROR(VLOOKUP(A55,Calculations!$A$85:$AS$105,26,FALSE),"")</f>
        <v>0</v>
      </c>
      <c r="T55" s="77">
        <f>IFERROR(VLOOKUP(A55,Calculations!$A$85:$AS$105,27,FALSE),"")</f>
        <v>0.81081081081081086</v>
      </c>
      <c r="U55" s="77">
        <f>IFERROR(VLOOKUP(A55,Calculations!$A$85:$AS$105,28,FALSE),"")</f>
        <v>0</v>
      </c>
      <c r="V55" s="77">
        <f>IFERROR(VLOOKUP(A55,Calculations!$A$85:$AS$105,29,FALSE),"")</f>
        <v>0</v>
      </c>
      <c r="W55" s="58">
        <f>IFERROR(VLOOKUP(A55,Calculations!$A$85:$AS$105,30,FALSE),"")</f>
        <v>1</v>
      </c>
      <c r="X55" s="55">
        <f>IFERROR(VLOOKUP(A55,Calculations!$A$85:$AS$105,32,FALSE),"")</f>
        <v>0.81081081081081086</v>
      </c>
    </row>
    <row r="56" spans="1:25" ht="15" x14ac:dyDescent="0.3">
      <c r="A56" s="36">
        <v>4</v>
      </c>
      <c r="B56" s="35" t="str">
        <f>IFERROR(VLOOKUP(A56,Calculations!$A$85:$AS$105,6,FALSE),"")</f>
        <v>Trevor Parker</v>
      </c>
      <c r="C56" s="75" t="str">
        <f>IFERROR(VLOOKUP(A56,Calculations!$A$85:$AS$105,7,FALSE),"")</f>
        <v/>
      </c>
      <c r="D56" s="75" t="str">
        <f>IFERROR(VLOOKUP(A56,Calculations!$A$85:$AS$105,8,FALSE),"")</f>
        <v>U/G</v>
      </c>
      <c r="E56" s="75" t="str">
        <f>IFERROR(VLOOKUP(A56,Calculations!$A$85:$AS$105,11,FALSE),"")</f>
        <v>PCP</v>
      </c>
      <c r="F56" s="75" t="str">
        <f>IFERROR(VLOOKUP(A56,Calculations!$A$85:$AS$105,12,FALSE),"")</f>
        <v>Buccaneers</v>
      </c>
      <c r="G56" s="76" t="str">
        <f>IFERROR(VLOOKUP(A56,Calculations!$A$85:$AS$105,14,FALSE),"")</f>
        <v/>
      </c>
      <c r="H56" s="76" t="str">
        <f>IFERROR(VLOOKUP(A56,Calculations!$A$85:$AS$105,15,FALSE),"")</f>
        <v/>
      </c>
      <c r="I56" s="76">
        <f>IFERROR(VLOOKUP(A56,Calculations!$A$85:$AS$105,16,FALSE),"")</f>
        <v>29</v>
      </c>
      <c r="J56" s="76" t="str">
        <f>IFERROR(VLOOKUP(A56,Calculations!$A$85:$AS$105,17,FALSE),"")</f>
        <v/>
      </c>
      <c r="K56" s="76" t="str">
        <f>IFERROR(VLOOKUP(A56,Calculations!$A$85:$AS$105,18,FALSE),"")</f>
        <v/>
      </c>
      <c r="L56" s="76" t="str">
        <f>IFERROR(VLOOKUP(A56,Calculations!$A$85:$AS$105,19,FALSE),"")</f>
        <v/>
      </c>
      <c r="M56" s="76" t="str">
        <f>IFERROR(VLOOKUP(A56,Calculations!$A$85:$AS$105,20,FALSE),"")</f>
        <v/>
      </c>
      <c r="N56" s="76" t="str">
        <f>IFERROR(VLOOKUP(A56,Calculations!$A$85:$AS$105,21,FALSE),"")</f>
        <v/>
      </c>
      <c r="O56" s="77" t="str">
        <f>IFERROR(VLOOKUP(A56,Calculations!$A$85:$AS$105,22,FALSE),"")</f>
        <v/>
      </c>
      <c r="P56" s="77" t="str">
        <f>IFERROR(VLOOKUP(A56,Calculations!$A$85:$AS$105,23,FALSE),"")</f>
        <v/>
      </c>
      <c r="Q56" s="77">
        <f>IFERROR(VLOOKUP(A56,Calculations!$A$85:$AS$105,24,FALSE),"")</f>
        <v>0.78378378378378377</v>
      </c>
      <c r="R56" s="77" t="str">
        <f>IFERROR(VLOOKUP(A56,Calculations!$A$85:$AS$105,25,FALSE),"")</f>
        <v/>
      </c>
      <c r="S56" s="77" t="str">
        <f>IFERROR(VLOOKUP(A56,Calculations!$A$85:$AS$105,26,FALSE),"")</f>
        <v/>
      </c>
      <c r="T56" s="77" t="str">
        <f>IFERROR(VLOOKUP(A56,Calculations!$A$85:$AS$105,27,FALSE),"")</f>
        <v/>
      </c>
      <c r="U56" s="77" t="str">
        <f>IFERROR(VLOOKUP(A56,Calculations!$A$85:$AS$105,28,FALSE),"")</f>
        <v/>
      </c>
      <c r="V56" s="77" t="str">
        <f>IFERROR(VLOOKUP(A56,Calculations!$A$85:$AS$105,29,FALSE),"")</f>
        <v/>
      </c>
      <c r="W56" s="58">
        <f>IFERROR(VLOOKUP(A56,Calculations!$A$85:$AS$105,30,FALSE),"")</f>
        <v>1</v>
      </c>
      <c r="X56" s="55">
        <f>IFERROR(VLOOKUP(A56,Calculations!$A$85:$AS$105,32,FALSE),"")</f>
        <v>0.78378378378378377</v>
      </c>
    </row>
    <row r="57" spans="1:25" ht="15" x14ac:dyDescent="0.3">
      <c r="A57" s="36">
        <v>5</v>
      </c>
      <c r="B57" s="35" t="str">
        <f>IFERROR(VLOOKUP(A57,Calculations!$A$85:$AS$105,6,FALSE),"")</f>
        <v>Amanda Holland</v>
      </c>
      <c r="C57" s="75">
        <f>IFERROR(VLOOKUP(A57,Calculations!$A$85:$AS$105,7,FALSE),"")</f>
        <v>60633</v>
      </c>
      <c r="D57" s="75" t="str">
        <f>IFERROR(VLOOKUP(A57,Calculations!$A$85:$AS$105,8,FALSE),"")</f>
        <v>U/G</v>
      </c>
      <c r="E57" s="75" t="str">
        <f>IFERROR(VLOOKUP(A57,Calculations!$A$85:$AS$105,11,FALSE),"")</f>
        <v>PCP</v>
      </c>
      <c r="F57" s="75" t="str">
        <f>IFERROR(VLOOKUP(A57,Calculations!$A$85:$AS$105,12,FALSE),"")</f>
        <v>Frobury</v>
      </c>
      <c r="G57" s="76" t="str">
        <f>IFERROR(VLOOKUP(A57,Calculations!$A$85:$AS$105,14,FALSE),"")</f>
        <v/>
      </c>
      <c r="H57" s="76" t="str">
        <f>IFERROR(VLOOKUP(A57,Calculations!$A$85:$AS$105,15,FALSE),"")</f>
        <v/>
      </c>
      <c r="I57" s="76" t="str">
        <f>IFERROR(VLOOKUP(A57,Calculations!$A$85:$AS$105,16,FALSE),"")</f>
        <v/>
      </c>
      <c r="J57" s="76" t="str">
        <f>IFERROR(VLOOKUP(A57,Calculations!$A$85:$AS$105,17,FALSE),"")</f>
        <v/>
      </c>
      <c r="K57" s="76" t="str">
        <f>IFERROR(VLOOKUP(A57,Calculations!$A$85:$AS$105,18,FALSE),"")</f>
        <v/>
      </c>
      <c r="L57" s="76">
        <f>IFERROR(VLOOKUP(A57,Calculations!$A$85:$AS$105,19,FALSE),"")</f>
        <v>28</v>
      </c>
      <c r="M57" s="76" t="str">
        <f>IFERROR(VLOOKUP(A57,Calculations!$A$85:$AS$105,20,FALSE),"")</f>
        <v/>
      </c>
      <c r="N57" s="76" t="str">
        <f>IFERROR(VLOOKUP(A57,Calculations!$A$85:$AS$105,21,FALSE),"")</f>
        <v/>
      </c>
      <c r="O57" s="77" t="str">
        <f>IFERROR(VLOOKUP(A57,Calculations!$A$85:$AS$105,22,FALSE),"")</f>
        <v/>
      </c>
      <c r="P57" s="77" t="str">
        <f>IFERROR(VLOOKUP(A57,Calculations!$A$85:$AS$105,23,FALSE),"")</f>
        <v/>
      </c>
      <c r="Q57" s="77" t="str">
        <f>IFERROR(VLOOKUP(A57,Calculations!$A$85:$AS$105,24,FALSE),"")</f>
        <v/>
      </c>
      <c r="R57" s="77" t="str">
        <f>IFERROR(VLOOKUP(A57,Calculations!$A$85:$AS$105,25,FALSE),"")</f>
        <v/>
      </c>
      <c r="S57" s="77" t="str">
        <f>IFERROR(VLOOKUP(A57,Calculations!$A$85:$AS$105,26,FALSE),"")</f>
        <v/>
      </c>
      <c r="T57" s="77">
        <f>IFERROR(VLOOKUP(A57,Calculations!$A$85:$AS$105,27,FALSE),"")</f>
        <v>0.7567567567567568</v>
      </c>
      <c r="U57" s="77" t="str">
        <f>IFERROR(VLOOKUP(A57,Calculations!$A$85:$AS$105,28,FALSE),"")</f>
        <v/>
      </c>
      <c r="V57" s="77" t="str">
        <f>IFERROR(VLOOKUP(A57,Calculations!$A$85:$AS$105,29,FALSE),"")</f>
        <v/>
      </c>
      <c r="W57" s="58">
        <f>IFERROR(VLOOKUP(A57,Calculations!$A$85:$AS$105,30,FALSE),"")</f>
        <v>1</v>
      </c>
      <c r="X57" s="55">
        <f>IFERROR(VLOOKUP(A57,Calculations!$A$85:$AS$105,32,FALSE),"")</f>
        <v>0.7567567567567568</v>
      </c>
    </row>
    <row r="58" spans="1:25" ht="15" x14ac:dyDescent="0.3">
      <c r="A58" s="36">
        <v>6</v>
      </c>
      <c r="B58" s="35" t="str">
        <f>IFERROR(VLOOKUP(A58,Calculations!$A$85:$AS$105,6,FALSE),"")</f>
        <v>Nick Welch</v>
      </c>
      <c r="C58" s="75">
        <f>IFERROR(VLOOKUP(A58,Calculations!$A$85:$AS$105,7,FALSE),"")</f>
        <v>1902</v>
      </c>
      <c r="D58" s="75" t="str">
        <f>IFERROR(VLOOKUP(A58,Calculations!$A$85:$AS$105,8,FALSE),"")</f>
        <v>U/G</v>
      </c>
      <c r="E58" s="75" t="str">
        <f>IFERROR(VLOOKUP(A58,Calculations!$A$85:$AS$105,11,FALSE),"")</f>
        <v>PCP</v>
      </c>
      <c r="F58" s="75" t="str">
        <f>IFERROR(VLOOKUP(A58,Calculations!$A$85:$AS$105,12,FALSE),"")</f>
        <v>Newbury</v>
      </c>
      <c r="G58" s="76" t="str">
        <f>IFERROR(VLOOKUP(A58,Calculations!$A$85:$AS$105,14,FALSE),"")</f>
        <v/>
      </c>
      <c r="H58" s="76" t="str">
        <f>IFERROR(VLOOKUP(A58,Calculations!$A$85:$AS$105,15,FALSE),"")</f>
        <v/>
      </c>
      <c r="I58" s="76">
        <f>IFERROR(VLOOKUP(A58,Calculations!$A$85:$AS$105,16,FALSE),"")</f>
        <v>21</v>
      </c>
      <c r="J58" s="76" t="str">
        <f>IFERROR(VLOOKUP(A58,Calculations!$A$85:$AS$105,17,FALSE),"")</f>
        <v/>
      </c>
      <c r="K58" s="76" t="str">
        <f>IFERROR(VLOOKUP(A58,Calculations!$A$85:$AS$105,18,FALSE),"")</f>
        <v/>
      </c>
      <c r="L58" s="76">
        <f>IFERROR(VLOOKUP(A58,Calculations!$A$85:$AS$105,19,FALSE),"")</f>
        <v>28</v>
      </c>
      <c r="M58" s="76" t="str">
        <f>IFERROR(VLOOKUP(A58,Calculations!$A$85:$AS$105,20,FALSE),"")</f>
        <v/>
      </c>
      <c r="N58" s="76" t="str">
        <f>IFERROR(VLOOKUP(A58,Calculations!$A$85:$AS$105,21,FALSE),"")</f>
        <v/>
      </c>
      <c r="O58" s="77" t="str">
        <f>IFERROR(VLOOKUP(A58,Calculations!$A$85:$AS$105,22,FALSE),"")</f>
        <v/>
      </c>
      <c r="P58" s="77" t="str">
        <f>IFERROR(VLOOKUP(A58,Calculations!$A$85:$AS$105,23,FALSE),"")</f>
        <v/>
      </c>
      <c r="Q58" s="77">
        <f>IFERROR(VLOOKUP(A58,Calculations!$A$85:$AS$105,24,FALSE),"")</f>
        <v>0.56756756756756754</v>
      </c>
      <c r="R58" s="77" t="str">
        <f>IFERROR(VLOOKUP(A58,Calculations!$A$85:$AS$105,25,FALSE),"")</f>
        <v/>
      </c>
      <c r="S58" s="77" t="str">
        <f>IFERROR(VLOOKUP(A58,Calculations!$A$85:$AS$105,26,FALSE),"")</f>
        <v/>
      </c>
      <c r="T58" s="77">
        <f>IFERROR(VLOOKUP(A58,Calculations!$A$85:$AS$105,27,FALSE),"")</f>
        <v>0.7567567567567568</v>
      </c>
      <c r="U58" s="77" t="str">
        <f>IFERROR(VLOOKUP(A58,Calculations!$A$85:$AS$105,28,FALSE),"")</f>
        <v/>
      </c>
      <c r="V58" s="77" t="str">
        <f>IFERROR(VLOOKUP(A58,Calculations!$A$85:$AS$105,29,FALSE),"")</f>
        <v/>
      </c>
      <c r="W58" s="58">
        <f>IFERROR(VLOOKUP(A58,Calculations!$A$85:$AS$105,30,FALSE),"")</f>
        <v>2</v>
      </c>
      <c r="X58" s="55">
        <f>IFERROR(VLOOKUP(A58,Calculations!$A$85:$AS$105,32,FALSE),"")</f>
        <v>0.66216216216216217</v>
      </c>
    </row>
    <row r="59" spans="1:25" ht="15" x14ac:dyDescent="0.3">
      <c r="A59" s="36">
        <v>7</v>
      </c>
      <c r="B59" s="35" t="str">
        <f>IFERROR(VLOOKUP(A59,Calculations!$A$85:$AS$105,6,FALSE),"")</f>
        <v>Lee Jasper</v>
      </c>
      <c r="C59" s="75">
        <f>IFERROR(VLOOKUP(A59,Calculations!$A$85:$AS$105,7,FALSE),"")</f>
        <v>296</v>
      </c>
      <c r="D59" s="75" t="str">
        <f>IFERROR(VLOOKUP(A59,Calculations!$A$85:$AS$105,8,FALSE),"")</f>
        <v>U/G</v>
      </c>
      <c r="E59" s="75" t="str">
        <f>IFERROR(VLOOKUP(A59,Calculations!$A$85:$AS$105,11,FALSE),"")</f>
        <v>PCP</v>
      </c>
      <c r="F59" s="75" t="str">
        <f>IFERROR(VLOOKUP(A59,Calculations!$A$85:$AS$105,12,FALSE),"")</f>
        <v>Bisley</v>
      </c>
      <c r="G59" s="76" t="str">
        <f>IFERROR(VLOOKUP(A59,Calculations!$A$85:$AS$105,14,FALSE),"")</f>
        <v/>
      </c>
      <c r="H59" s="76" t="str">
        <f>IFERROR(VLOOKUP(A59,Calculations!$A$85:$AS$105,15,FALSE),"")</f>
        <v/>
      </c>
      <c r="I59" s="76" t="str">
        <f>IFERROR(VLOOKUP(A59,Calculations!$A$85:$AS$105,16,FALSE),"")</f>
        <v/>
      </c>
      <c r="J59" s="76" t="str">
        <f>IFERROR(VLOOKUP(A59,Calculations!$A$85:$AS$105,17,FALSE),"")</f>
        <v/>
      </c>
      <c r="K59" s="76" t="str">
        <f>IFERROR(VLOOKUP(A59,Calculations!$A$85:$AS$105,18,FALSE),"")</f>
        <v/>
      </c>
      <c r="L59" s="76">
        <f>IFERROR(VLOOKUP(A59,Calculations!$A$85:$AS$105,19,FALSE),"")</f>
        <v>23</v>
      </c>
      <c r="M59" s="76" t="str">
        <f>IFERROR(VLOOKUP(A59,Calculations!$A$85:$AS$105,20,FALSE),"")</f>
        <v/>
      </c>
      <c r="N59" s="76" t="str">
        <f>IFERROR(VLOOKUP(A59,Calculations!$A$85:$AS$105,21,FALSE),"")</f>
        <v/>
      </c>
      <c r="O59" s="77" t="str">
        <f>IFERROR(VLOOKUP(A59,Calculations!$A$85:$AS$105,22,FALSE),"")</f>
        <v/>
      </c>
      <c r="P59" s="77" t="str">
        <f>IFERROR(VLOOKUP(A59,Calculations!$A$85:$AS$105,23,FALSE),"")</f>
        <v/>
      </c>
      <c r="Q59" s="77" t="str">
        <f>IFERROR(VLOOKUP(A59,Calculations!$A$85:$AS$105,24,FALSE),"")</f>
        <v/>
      </c>
      <c r="R59" s="77" t="str">
        <f>IFERROR(VLOOKUP(A59,Calculations!$A$85:$AS$105,25,FALSE),"")</f>
        <v/>
      </c>
      <c r="S59" s="77" t="str">
        <f>IFERROR(VLOOKUP(A59,Calculations!$A$85:$AS$105,26,FALSE),"")</f>
        <v/>
      </c>
      <c r="T59" s="77">
        <f>IFERROR(VLOOKUP(A59,Calculations!$A$85:$AS$105,27,FALSE),"")</f>
        <v>0.6216216216216216</v>
      </c>
      <c r="U59" s="77" t="str">
        <f>IFERROR(VLOOKUP(A59,Calculations!$A$85:$AS$105,28,FALSE),"")</f>
        <v/>
      </c>
      <c r="V59" s="77" t="str">
        <f>IFERROR(VLOOKUP(A59,Calculations!$A$85:$AS$105,29,FALSE),"")</f>
        <v/>
      </c>
      <c r="W59" s="58">
        <f>IFERROR(VLOOKUP(A59,Calculations!$A$85:$AS$105,30,FALSE),"")</f>
        <v>1</v>
      </c>
      <c r="X59" s="55">
        <f>IFERROR(VLOOKUP(A59,Calculations!$A$85:$AS$105,32,FALSE),"")</f>
        <v>0.6216216216216216</v>
      </c>
    </row>
    <row r="60" spans="1:25" ht="15" x14ac:dyDescent="0.3">
      <c r="A60" s="36">
        <v>8</v>
      </c>
      <c r="B60" s="35" t="str">
        <f>IFERROR(VLOOKUP(A60,Calculations!$A$85:$AS$105,6,FALSE),"")</f>
        <v>Gordon Bishop</v>
      </c>
      <c r="C60" s="75">
        <f>IFERROR(VLOOKUP(A60,Calculations!$A$85:$AS$105,7,FALSE),"")</f>
        <v>1827</v>
      </c>
      <c r="D60" s="75" t="str">
        <f>IFERROR(VLOOKUP(A60,Calculations!$A$85:$AS$105,8,FALSE),"")</f>
        <v>U/G</v>
      </c>
      <c r="E60" s="75" t="str">
        <f>IFERROR(VLOOKUP(A60,Calculations!$A$85:$AS$105,11,FALSE),"")</f>
        <v>PCP</v>
      </c>
      <c r="F60" s="75" t="str">
        <f>IFERROR(VLOOKUP(A60,Calculations!$A$85:$AS$105,12,FALSE),"")</f>
        <v>Newbury</v>
      </c>
      <c r="G60" s="76" t="str">
        <f>IFERROR(VLOOKUP(A60,Calculations!$A$85:$AS$105,14,FALSE),"")</f>
        <v/>
      </c>
      <c r="H60" s="76" t="str">
        <f>IFERROR(VLOOKUP(A60,Calculations!$A$85:$AS$105,15,FALSE),"")</f>
        <v/>
      </c>
      <c r="I60" s="76" t="str">
        <f>IFERROR(VLOOKUP(A60,Calculations!$A$85:$AS$105,16,FALSE),"")</f>
        <v/>
      </c>
      <c r="J60" s="76">
        <f>IFERROR(VLOOKUP(A60,Calculations!$A$85:$AS$105,17,FALSE),"")</f>
        <v>15</v>
      </c>
      <c r="K60" s="76" t="str">
        <f>IFERROR(VLOOKUP(A60,Calculations!$A$85:$AS$105,18,FALSE),"")</f>
        <v/>
      </c>
      <c r="L60" s="76" t="str">
        <f>IFERROR(VLOOKUP(A60,Calculations!$A$85:$AS$105,19,FALSE),"")</f>
        <v/>
      </c>
      <c r="M60" s="76" t="str">
        <f>IFERROR(VLOOKUP(A60,Calculations!$A$85:$AS$105,20,FALSE),"")</f>
        <v/>
      </c>
      <c r="N60" s="76" t="str">
        <f>IFERROR(VLOOKUP(A60,Calculations!$A$85:$AS$105,21,FALSE),"")</f>
        <v/>
      </c>
      <c r="O60" s="77" t="str">
        <f>IFERROR(VLOOKUP(A60,Calculations!$A$85:$AS$105,22,FALSE),"")</f>
        <v/>
      </c>
      <c r="P60" s="77" t="str">
        <f>IFERROR(VLOOKUP(A60,Calculations!$A$85:$AS$105,23,FALSE),"")</f>
        <v/>
      </c>
      <c r="Q60" s="77" t="str">
        <f>IFERROR(VLOOKUP(A60,Calculations!$A$85:$AS$105,24,FALSE),"")</f>
        <v/>
      </c>
      <c r="R60" s="77">
        <f>IFERROR(VLOOKUP(A60,Calculations!$A$85:$AS$105,25,FALSE),"")</f>
        <v>0.41666666666666669</v>
      </c>
      <c r="S60" s="77" t="str">
        <f>IFERROR(VLOOKUP(A60,Calculations!$A$85:$AS$105,26,FALSE),"")</f>
        <v/>
      </c>
      <c r="T60" s="77" t="str">
        <f>IFERROR(VLOOKUP(A60,Calculations!$A$85:$AS$105,27,FALSE),"")</f>
        <v/>
      </c>
      <c r="U60" s="77" t="str">
        <f>IFERROR(VLOOKUP(A60,Calculations!$A$85:$AS$105,28,FALSE),"")</f>
        <v/>
      </c>
      <c r="V60" s="77" t="str">
        <f>IFERROR(VLOOKUP(A60,Calculations!$A$85:$AS$105,29,FALSE),"")</f>
        <v/>
      </c>
      <c r="W60" s="58">
        <f>IFERROR(VLOOKUP(A60,Calculations!$A$85:$AS$105,30,FALSE),"")</f>
        <v>1</v>
      </c>
      <c r="X60" s="55">
        <f>IFERROR(VLOOKUP(A60,Calculations!$A$85:$AS$105,31,FALSE),"")</f>
        <v>0.41666666666666669</v>
      </c>
    </row>
    <row r="61" spans="1:25" ht="15" hidden="1" x14ac:dyDescent="0.3">
      <c r="A61" s="36">
        <v>9</v>
      </c>
      <c r="B61" s="35" t="str">
        <f>IFERROR(VLOOKUP(A61,Calculations!$A$85:$AS$105,6,FALSE),"")</f>
        <v/>
      </c>
      <c r="C61" s="75" t="str">
        <f>IFERROR(VLOOKUP(A61,Calculations!$A$85:$AS$105,7,FALSE),"")</f>
        <v/>
      </c>
      <c r="D61" s="75" t="str">
        <f>IFERROR(VLOOKUP(A61,Calculations!$A$85:$AS$105,8,FALSE),"")</f>
        <v/>
      </c>
      <c r="E61" s="75" t="str">
        <f>IFERROR(VLOOKUP(A61,Calculations!$A$85:$AS$105,11,FALSE),"")</f>
        <v/>
      </c>
      <c r="F61" s="75" t="str">
        <f>IFERROR(VLOOKUP(A61,Calculations!$A$85:$AS$105,12,FALSE),"")</f>
        <v/>
      </c>
      <c r="G61" s="76" t="str">
        <f>IFERROR(VLOOKUP(A61,Calculations!$A$85:$AS$105,14,FALSE),"")</f>
        <v/>
      </c>
      <c r="H61" s="76" t="str">
        <f>IFERROR(VLOOKUP(A61,Calculations!$A$85:$AS$105,15,FALSE),"")</f>
        <v/>
      </c>
      <c r="I61" s="76" t="str">
        <f>IFERROR(VLOOKUP(A61,Calculations!$A$85:$AS$105,16,FALSE),"")</f>
        <v/>
      </c>
      <c r="J61" s="76" t="str">
        <f>IFERROR(VLOOKUP(A61,Calculations!$A$85:$AS$105,17,FALSE),"")</f>
        <v/>
      </c>
      <c r="K61" s="76" t="str">
        <f>IFERROR(VLOOKUP(A61,Calculations!$A$85:$AS$105,18,FALSE),"")</f>
        <v/>
      </c>
      <c r="L61" s="76" t="str">
        <f>IFERROR(VLOOKUP(A61,Calculations!$A$85:$AS$105,19,FALSE),"")</f>
        <v/>
      </c>
      <c r="M61" s="76" t="str">
        <f>IFERROR(VLOOKUP(A61,Calculations!$A$85:$AS$105,20,FALSE),"")</f>
        <v/>
      </c>
      <c r="N61" s="76" t="str">
        <f>IFERROR(VLOOKUP(A61,Calculations!$A$85:$AS$105,21,FALSE),"")</f>
        <v/>
      </c>
      <c r="O61" s="77" t="str">
        <f>IFERROR(VLOOKUP(A61,Calculations!$A$85:$AS$105,22,FALSE),"")</f>
        <v/>
      </c>
      <c r="P61" s="77" t="str">
        <f>IFERROR(VLOOKUP(A61,Calculations!$A$85:$AS$105,23,FALSE),"")</f>
        <v/>
      </c>
      <c r="Q61" s="77" t="str">
        <f>IFERROR(VLOOKUP(A61,Calculations!$A$85:$AS$105,24,FALSE),"")</f>
        <v/>
      </c>
      <c r="R61" s="77" t="str">
        <f>IFERROR(VLOOKUP(A61,Calculations!$A$85:$AS$105,25,FALSE),"")</f>
        <v/>
      </c>
      <c r="S61" s="77" t="str">
        <f>IFERROR(VLOOKUP(A61,Calculations!$A$85:$AS$105,26,FALSE),"")</f>
        <v/>
      </c>
      <c r="T61" s="77" t="str">
        <f>IFERROR(VLOOKUP(A61,Calculations!$A$85:$AS$105,27,FALSE),"")</f>
        <v/>
      </c>
      <c r="U61" s="77" t="str">
        <f>IFERROR(VLOOKUP(A61,Calculations!$A$85:$AS$105,28,FALSE),"")</f>
        <v/>
      </c>
      <c r="V61" s="77" t="str">
        <f>IFERROR(VLOOKUP(A61,Calculations!$A$85:$AS$105,29,FALSE),"")</f>
        <v/>
      </c>
      <c r="W61" s="58" t="str">
        <f>IFERROR(VLOOKUP(A61,Calculations!$A$85:$AS$105,30,FALSE),"")</f>
        <v/>
      </c>
      <c r="X61" s="55" t="str">
        <f>IFERROR(VLOOKUP(A61,Calculations!$A$85:$AS$105,31,FALSE),"")</f>
        <v/>
      </c>
    </row>
    <row r="62" spans="1:25" ht="15" hidden="1" x14ac:dyDescent="0.3">
      <c r="A62" s="36">
        <v>10</v>
      </c>
      <c r="B62" s="35" t="str">
        <f>IFERROR(VLOOKUP(A62,Calculations!$A$85:$AS$105,6,FALSE),"")</f>
        <v/>
      </c>
      <c r="C62" s="75" t="str">
        <f>IFERROR(VLOOKUP(A62,Calculations!$A$85:$AS$105,7,FALSE),"")</f>
        <v/>
      </c>
      <c r="D62" s="75" t="str">
        <f>IFERROR(VLOOKUP(A62,Calculations!$A$85:$AS$105,8,FALSE),"")</f>
        <v/>
      </c>
      <c r="E62" s="75" t="str">
        <f>IFERROR(VLOOKUP(A62,Calculations!$A$85:$AS$105,11,FALSE),"")</f>
        <v/>
      </c>
      <c r="F62" s="75" t="str">
        <f>IFERROR(VLOOKUP(A62,Calculations!$A$85:$AS$105,12,FALSE),"")</f>
        <v/>
      </c>
      <c r="G62" s="76" t="str">
        <f>IFERROR(VLOOKUP(A62,Calculations!$A$85:$AS$105,14,FALSE),"")</f>
        <v/>
      </c>
      <c r="H62" s="76" t="str">
        <f>IFERROR(VLOOKUP(A62,Calculations!$A$85:$AS$105,15,FALSE),"")</f>
        <v/>
      </c>
      <c r="I62" s="76" t="str">
        <f>IFERROR(VLOOKUP(A62,Calculations!$A$85:$AS$105,16,FALSE),"")</f>
        <v/>
      </c>
      <c r="J62" s="76" t="str">
        <f>IFERROR(VLOOKUP(A62,Calculations!$A$85:$AS$105,17,FALSE),"")</f>
        <v/>
      </c>
      <c r="K62" s="76" t="str">
        <f>IFERROR(VLOOKUP(A62,Calculations!$A$85:$AS$105,18,FALSE),"")</f>
        <v/>
      </c>
      <c r="L62" s="76" t="str">
        <f>IFERROR(VLOOKUP(A62,Calculations!$A$85:$AS$105,19,FALSE),"")</f>
        <v/>
      </c>
      <c r="M62" s="76" t="str">
        <f>IFERROR(VLOOKUP(A62,Calculations!$A$85:$AS$105,20,FALSE),"")</f>
        <v/>
      </c>
      <c r="N62" s="76" t="str">
        <f>IFERROR(VLOOKUP(A62,Calculations!$A$85:$AS$105,21,FALSE),"")</f>
        <v/>
      </c>
      <c r="O62" s="77" t="str">
        <f>IFERROR(VLOOKUP(A62,Calculations!$A$85:$AS$105,22,FALSE),"")</f>
        <v/>
      </c>
      <c r="P62" s="77" t="str">
        <f>IFERROR(VLOOKUP(A62,Calculations!$A$85:$AS$105,23,FALSE),"")</f>
        <v/>
      </c>
      <c r="Q62" s="77" t="str">
        <f>IFERROR(VLOOKUP(A62,Calculations!$A$85:$AS$105,24,FALSE),"")</f>
        <v/>
      </c>
      <c r="R62" s="77" t="str">
        <f>IFERROR(VLOOKUP(A62,Calculations!$A$85:$AS$105,25,FALSE),"")</f>
        <v/>
      </c>
      <c r="S62" s="77" t="str">
        <f>IFERROR(VLOOKUP(A62,Calculations!$A$85:$AS$105,26,FALSE),"")</f>
        <v/>
      </c>
      <c r="T62" s="77" t="str">
        <f>IFERROR(VLOOKUP(A62,Calculations!$A$85:$AS$105,27,FALSE),"")</f>
        <v/>
      </c>
      <c r="U62" s="77" t="str">
        <f>IFERROR(VLOOKUP(A62,Calculations!$A$85:$AS$105,28,FALSE),"")</f>
        <v/>
      </c>
      <c r="V62" s="77" t="str">
        <f>IFERROR(VLOOKUP(A62,Calculations!$A$85:$AS$105,29,FALSE),"")</f>
        <v/>
      </c>
      <c r="W62" s="58" t="str">
        <f>IFERROR(VLOOKUP(A62,Calculations!$A$85:$AS$105,30,FALSE),"")</f>
        <v/>
      </c>
      <c r="X62" s="55" t="str">
        <f>IFERROR(VLOOKUP(A62,Calculations!$A$85:$AS$105,31,FALSE),"")</f>
        <v/>
      </c>
    </row>
    <row r="63" spans="1:25" ht="27" customHeight="1" x14ac:dyDescent="0.3">
      <c r="A63" s="128" t="s">
        <v>201</v>
      </c>
      <c r="B63" s="70" t="s">
        <v>0</v>
      </c>
      <c r="C63" s="70" t="s">
        <v>1</v>
      </c>
      <c r="D63" s="70" t="s">
        <v>2</v>
      </c>
      <c r="E63" s="70" t="s">
        <v>3</v>
      </c>
      <c r="F63" s="70" t="s">
        <v>4</v>
      </c>
      <c r="G63" s="71" t="s">
        <v>150</v>
      </c>
      <c r="H63" s="71" t="s">
        <v>151</v>
      </c>
      <c r="I63" s="71" t="s">
        <v>152</v>
      </c>
      <c r="J63" s="71" t="s">
        <v>153</v>
      </c>
      <c r="K63" s="71" t="s">
        <v>154</v>
      </c>
      <c r="L63" s="71" t="s">
        <v>155</v>
      </c>
      <c r="M63" s="71" t="s">
        <v>156</v>
      </c>
      <c r="N63" s="71" t="s">
        <v>157</v>
      </c>
      <c r="O63" s="72" t="s">
        <v>150</v>
      </c>
      <c r="P63" s="72" t="s">
        <v>151</v>
      </c>
      <c r="Q63" s="72" t="s">
        <v>152</v>
      </c>
      <c r="R63" s="72" t="s">
        <v>153</v>
      </c>
      <c r="S63" s="72" t="s">
        <v>154</v>
      </c>
      <c r="T63" s="72" t="s">
        <v>155</v>
      </c>
      <c r="U63" s="72" t="s">
        <v>156</v>
      </c>
      <c r="V63" s="72" t="s">
        <v>157</v>
      </c>
      <c r="W63" s="73" t="s">
        <v>166</v>
      </c>
      <c r="X63" s="73" t="s">
        <v>167</v>
      </c>
      <c r="Y63" s="74"/>
    </row>
    <row r="64" spans="1:25" ht="15" x14ac:dyDescent="0.3">
      <c r="A64" s="36">
        <v>1</v>
      </c>
      <c r="B64" s="35" t="str">
        <f>IFERROR(VLOOKUP(A64,Calculations!$A$110:$AS$120,6,FALSE),"")</f>
        <v>Paul Whitehouse</v>
      </c>
      <c r="C64" s="75">
        <f>IFERROR(VLOOKUP(A64,Calculations!$A$110:$AS$120,7,FALSE),"")</f>
        <v>1816</v>
      </c>
      <c r="D64" s="75" t="str">
        <f>IFERROR(VLOOKUP(A64,Calculations!$A$110:$AS$120,8,FALSE),"")</f>
        <v>O</v>
      </c>
      <c r="E64" s="75" t="str">
        <f>IFERROR(VLOOKUP(A64,Calculations!$A$110:$AS$120,11,FALSE),"")</f>
        <v>Open</v>
      </c>
      <c r="F64" s="75" t="str">
        <f>IFERROR(VLOOKUP(A64,Calculations!$A$110:$AS$120,12,FALSE),"")</f>
        <v>Frobury</v>
      </c>
      <c r="G64" s="76" t="str">
        <f>IFERROR(VLOOKUP(A64,Calculations!$A$110:$AS$120,14,FALSE),"")</f>
        <v/>
      </c>
      <c r="H64" s="76">
        <f>IFERROR(VLOOKUP(A64,Calculations!$A$110:$AS$120,15,FALSE),"")</f>
        <v>27</v>
      </c>
      <c r="I64" s="76" t="str">
        <f>IFERROR(VLOOKUP(A64,Calculations!$A$110:$AS$120,16,FALSE),"")</f>
        <v/>
      </c>
      <c r="J64" s="76" t="str">
        <f>IFERROR(VLOOKUP(A64,Calculations!$A$110:$AS$120,17,FALSE),"")</f>
        <v/>
      </c>
      <c r="K64" s="76" t="str">
        <f>IFERROR(VLOOKUP(A64,Calculations!$A$110:$AS$120,18,FALSE),"")</f>
        <v/>
      </c>
      <c r="L64" s="76">
        <f>IFERROR(VLOOKUP(A64,Calculations!$A$110:$AS$120,19,FALSE),"")</f>
        <v>32</v>
      </c>
      <c r="M64" s="76" t="str">
        <f>IFERROR(VLOOKUP(A64,Calculations!$A$110:$AS$120,20,FALSE),"")</f>
        <v/>
      </c>
      <c r="N64" s="76" t="str">
        <f>IFERROR(VLOOKUP(A64,Calculations!$A$110:$AS$120,21,FALSE),"")</f>
        <v/>
      </c>
      <c r="O64" s="77" t="str">
        <f>IFERROR(VLOOKUP(A64,Calculations!$A$110:$AS$120,22,FALSE),"")</f>
        <v/>
      </c>
      <c r="P64" s="77">
        <f>IFERROR(VLOOKUP(A64,Calculations!$A$110:$AS$120,23,FALSE),"")</f>
        <v>0.87096774193548387</v>
      </c>
      <c r="Q64" s="77" t="str">
        <f>IFERROR(VLOOKUP(A64,Calculations!$A$110:$AS$120,24,FALSE),"")</f>
        <v/>
      </c>
      <c r="R64" s="77" t="str">
        <f>IFERROR(VLOOKUP(A64,Calculations!$A$110:$AS$120,25,FALSE),"")</f>
        <v/>
      </c>
      <c r="S64" s="77" t="str">
        <f>IFERROR(VLOOKUP(A64,Calculations!$A$110:$AS$120,26,FALSE),"")</f>
        <v/>
      </c>
      <c r="T64" s="77">
        <f>IFERROR(VLOOKUP(A64,Calculations!$A$110:$AS$120,27,FALSE),"")</f>
        <v>0.86486486486486491</v>
      </c>
      <c r="U64" s="77" t="str">
        <f>IFERROR(VLOOKUP(A64,Calculations!$A$110:$AS$120,28,FALSE),"")</f>
        <v/>
      </c>
      <c r="V64" s="77" t="str">
        <f>IFERROR(VLOOKUP(A64,Calculations!$A$110:$AS$120,29,FALSE),"")</f>
        <v/>
      </c>
      <c r="W64" s="58">
        <f>IFERROR(VLOOKUP(A64,Calculations!$A$110:$AS$120,30,FALSE),"")</f>
        <v>2</v>
      </c>
      <c r="X64" s="55">
        <f>IFERROR(VLOOKUP(A64,Calculations!$A$110:$AS$120,32,FALSE),"")</f>
        <v>0.86791630340017445</v>
      </c>
    </row>
    <row r="65" spans="1:25" ht="15" x14ac:dyDescent="0.3">
      <c r="A65" s="36">
        <v>2</v>
      </c>
      <c r="B65" s="35" t="str">
        <f>IFERROR(VLOOKUP(A65,Calculations!$A$110:$AS$120,6,FALSE),"")</f>
        <v>David Hollingdale</v>
      </c>
      <c r="C65" s="75">
        <f>IFERROR(VLOOKUP(A65,Calculations!$A$110:$AS$120,7,FALSE),"")</f>
        <v>1515</v>
      </c>
      <c r="D65" s="75" t="str">
        <f>IFERROR(VLOOKUP(A65,Calculations!$A$110:$AS$120,8,FALSE),"")</f>
        <v>O</v>
      </c>
      <c r="E65" s="75" t="str">
        <f>IFERROR(VLOOKUP(A65,Calculations!$A$110:$AS$120,11,FALSE),"")</f>
        <v>Open</v>
      </c>
      <c r="F65" s="75" t="str">
        <f>IFERROR(VLOOKUP(A65,Calculations!$A$110:$AS$120,12,FALSE),"")</f>
        <v>Carisbrooke</v>
      </c>
      <c r="G65" s="76">
        <f>IFERROR(VLOOKUP(A65,Calculations!$A$110:$AS$120,14,FALSE),"")</f>
        <v>28</v>
      </c>
      <c r="H65" s="76">
        <f>IFERROR(VLOOKUP(A65,Calculations!$A$110:$AS$120,15,FALSE),"")</f>
        <v>18</v>
      </c>
      <c r="I65" s="76">
        <f>IFERROR(VLOOKUP(A65,Calculations!$A$110:$AS$120,16,FALSE),"")</f>
        <v>30</v>
      </c>
      <c r="J65" s="76" t="str">
        <f>IFERROR(VLOOKUP(A65,Calculations!$A$110:$AS$120,17,FALSE),"")</f>
        <v/>
      </c>
      <c r="K65" s="76">
        <f>IFERROR(VLOOKUP(A65,Calculations!$A$110:$AS$120,18,FALSE),"")</f>
        <v>28</v>
      </c>
      <c r="L65" s="76">
        <f>IFERROR(VLOOKUP(A65,Calculations!$A$110:$AS$120,19,FALSE),"")</f>
        <v>28</v>
      </c>
      <c r="M65" s="76" t="str">
        <f>IFERROR(VLOOKUP(A65,Calculations!$A$110:$AS$120,20,FALSE),"")</f>
        <v/>
      </c>
      <c r="N65" s="76" t="str">
        <f>IFERROR(VLOOKUP(A65,Calculations!$A$110:$AS$120,21,FALSE),"")</f>
        <v/>
      </c>
      <c r="O65" s="77">
        <f>IFERROR(VLOOKUP(A65,Calculations!$A$110:$AS$120,22,FALSE),"")</f>
        <v>0.7567567567567568</v>
      </c>
      <c r="P65" s="77">
        <f>IFERROR(VLOOKUP(A65,Calculations!$A$110:$AS$120,23,FALSE),"")</f>
        <v>0.58064516129032262</v>
      </c>
      <c r="Q65" s="77">
        <f>IFERROR(VLOOKUP(A65,Calculations!$A$110:$AS$120,24,FALSE),"")</f>
        <v>0.81081081081081086</v>
      </c>
      <c r="R65" s="77" t="str">
        <f>IFERROR(VLOOKUP(A65,Calculations!$A$110:$AS$120,25,FALSE),"")</f>
        <v/>
      </c>
      <c r="S65" s="77">
        <f>IFERROR(VLOOKUP(A65,Calculations!$A$110:$AS$120,26,FALSE),"")</f>
        <v>0.73684210526315785</v>
      </c>
      <c r="T65" s="77">
        <f>IFERROR(VLOOKUP(A65,Calculations!$A$110:$AS$120,27,FALSE),"")</f>
        <v>0.7567567567567568</v>
      </c>
      <c r="U65" s="77" t="str">
        <f>IFERROR(VLOOKUP(A65,Calculations!$A$110:$AS$120,28,FALSE),"")</f>
        <v/>
      </c>
      <c r="V65" s="77" t="str">
        <f>IFERROR(VLOOKUP(A65,Calculations!$A$110:$AS$120,29,FALSE),"")</f>
        <v/>
      </c>
      <c r="W65" s="58">
        <f>IFERROR(VLOOKUP(A65,Calculations!$A$110:$AS$120,30,FALSE),"")</f>
        <v>5</v>
      </c>
      <c r="X65" s="55">
        <f>IFERROR(VLOOKUP(A65,Calculations!$A$110:$AS$120,32,FALSE),"")</f>
        <v>0.76529160739687063</v>
      </c>
    </row>
    <row r="66" spans="1:25" ht="15" x14ac:dyDescent="0.3">
      <c r="A66" s="36">
        <v>3</v>
      </c>
      <c r="B66" s="35" t="str">
        <f>IFERROR(VLOOKUP(A66,Calculations!$A$110:$AS$120,6,FALSE),"")</f>
        <v>Geoff Hawes</v>
      </c>
      <c r="C66" s="75">
        <f>IFERROR(VLOOKUP(A66,Calculations!$A$110:$AS$120,7,FALSE),"")</f>
        <v>448</v>
      </c>
      <c r="D66" s="75" t="str">
        <f>IFERROR(VLOOKUP(A66,Calculations!$A$110:$AS$120,8,FALSE),"")</f>
        <v>O</v>
      </c>
      <c r="E66" s="75" t="str">
        <f>IFERROR(VLOOKUP(A66,Calculations!$A$110:$AS$120,11,FALSE),"")</f>
        <v>Open</v>
      </c>
      <c r="F66" s="75" t="str">
        <f>IFERROR(VLOOKUP(A66,Calculations!$A$110:$AS$120,12,FALSE),"")</f>
        <v>Newbury</v>
      </c>
      <c r="G66" s="76">
        <f>IFERROR(VLOOKUP(A66,Calculations!$A$110:$AS$120,14,FALSE),"")</f>
        <v>23</v>
      </c>
      <c r="H66" s="76" t="str">
        <f>IFERROR(VLOOKUP(A66,Calculations!$A$110:$AS$120,15,FALSE),"")</f>
        <v/>
      </c>
      <c r="I66" s="76">
        <f>IFERROR(VLOOKUP(A66,Calculations!$A$110:$AS$120,16,FALSE),"")</f>
        <v>25</v>
      </c>
      <c r="J66" s="76">
        <f>IFERROR(VLOOKUP(A66,Calculations!$A$110:$AS$120,17,FALSE),"")</f>
        <v>27</v>
      </c>
      <c r="K66" s="76">
        <f>IFERROR(VLOOKUP(A66,Calculations!$A$110:$AS$120,18,FALSE),"")</f>
        <v>27</v>
      </c>
      <c r="L66" s="76">
        <f>IFERROR(VLOOKUP(A66,Calculations!$A$110:$AS$120,19,FALSE),"")</f>
        <v>24</v>
      </c>
      <c r="M66" s="76" t="str">
        <f>IFERROR(VLOOKUP(A66,Calculations!$A$110:$AS$120,20,FALSE),"")</f>
        <v/>
      </c>
      <c r="N66" s="76" t="str">
        <f>IFERROR(VLOOKUP(A66,Calculations!$A$110:$AS$120,21,FALSE),"")</f>
        <v/>
      </c>
      <c r="O66" s="77">
        <f>IFERROR(VLOOKUP(A66,Calculations!$A$110:$AS$120,22,FALSE),"")</f>
        <v>0.6216216216216216</v>
      </c>
      <c r="P66" s="77" t="str">
        <f>IFERROR(VLOOKUP(A66,Calculations!$A$110:$AS$120,23,FALSE),"")</f>
        <v/>
      </c>
      <c r="Q66" s="77">
        <f>IFERROR(VLOOKUP(A66,Calculations!$A$110:$AS$120,24,FALSE),"")</f>
        <v>0.67567567567567566</v>
      </c>
      <c r="R66" s="77">
        <f>IFERROR(VLOOKUP(A66,Calculations!$A$110:$AS$120,25,FALSE),"")</f>
        <v>0.75</v>
      </c>
      <c r="S66" s="77">
        <f>IFERROR(VLOOKUP(A66,Calculations!$A$110:$AS$120,26,FALSE),"")</f>
        <v>0.71052631578947367</v>
      </c>
      <c r="T66" s="77">
        <f>IFERROR(VLOOKUP(A66,Calculations!$A$110:$AS$120,27,FALSE),"")</f>
        <v>0.64864864864864868</v>
      </c>
      <c r="U66" s="77" t="str">
        <f>IFERROR(VLOOKUP(A66,Calculations!$A$110:$AS$120,28,FALSE),"")</f>
        <v/>
      </c>
      <c r="V66" s="77" t="str">
        <f>IFERROR(VLOOKUP(A66,Calculations!$A$110:$AS$120,29,FALSE),"")</f>
        <v/>
      </c>
      <c r="W66" s="58">
        <f>IFERROR(VLOOKUP(A66,Calculations!$A$110:$AS$120,30,FALSE),"")</f>
        <v>5</v>
      </c>
      <c r="X66" s="55">
        <f>IFERROR(VLOOKUP(A66,Calculations!$A$110:$AS$120,32,FALSE),"")</f>
        <v>0.6962126600284495</v>
      </c>
    </row>
    <row r="67" spans="1:25" ht="15" x14ac:dyDescent="0.3">
      <c r="A67" s="36">
        <v>4</v>
      </c>
      <c r="B67" s="35" t="str">
        <f>IFERROR(VLOOKUP(A67,Calculations!$A$110:$AS$120,6,FALSE),"")</f>
        <v>John Watson</v>
      </c>
      <c r="C67" s="75">
        <f>IFERROR(VLOOKUP(A67,Calculations!$A$110:$AS$120,7,FALSE),"")</f>
        <v>1559</v>
      </c>
      <c r="D67" s="75" t="str">
        <f>IFERROR(VLOOKUP(A67,Calculations!$A$110:$AS$120,8,FALSE),"")</f>
        <v>O</v>
      </c>
      <c r="E67" s="75" t="str">
        <f>IFERROR(VLOOKUP(A67,Calculations!$A$110:$AS$120,11,FALSE),"")</f>
        <v>Open</v>
      </c>
      <c r="F67" s="75" t="str">
        <f>IFERROR(VLOOKUP(A67,Calculations!$A$110:$AS$120,12,FALSE),"")</f>
        <v>Newbury</v>
      </c>
      <c r="G67" s="76">
        <f>IFERROR(VLOOKUP(A67,Calculations!$A$110:$AS$120,14,FALSE),"")</f>
        <v>25</v>
      </c>
      <c r="H67" s="76" t="str">
        <f>IFERROR(VLOOKUP(A67,Calculations!$A$110:$AS$120,15,FALSE),"")</f>
        <v/>
      </c>
      <c r="I67" s="76">
        <f>IFERROR(VLOOKUP(A67,Calculations!$A$110:$AS$120,16,FALSE),"")</f>
        <v>23</v>
      </c>
      <c r="J67" s="76">
        <f>IFERROR(VLOOKUP(A67,Calculations!$A$110:$AS$120,17,FALSE),"")</f>
        <v>20</v>
      </c>
      <c r="K67" s="76">
        <f>IFERROR(VLOOKUP(A67,Calculations!$A$110:$AS$120,18,FALSE),"")</f>
        <v>27</v>
      </c>
      <c r="L67" s="76">
        <f>IFERROR(VLOOKUP(A67,Calculations!$A$110:$AS$120,19,FALSE),"")</f>
        <v>20</v>
      </c>
      <c r="M67" s="76" t="str">
        <f>IFERROR(VLOOKUP(A67,Calculations!$A$110:$AS$120,20,FALSE),"")</f>
        <v/>
      </c>
      <c r="N67" s="76" t="str">
        <f>IFERROR(VLOOKUP(A67,Calculations!$A$110:$AS$120,21,FALSE),"")</f>
        <v/>
      </c>
      <c r="O67" s="77">
        <f>IFERROR(VLOOKUP(A67,Calculations!$A$110:$AS$120,22,FALSE),"")</f>
        <v>0.67567567567567566</v>
      </c>
      <c r="P67" s="77" t="str">
        <f>IFERROR(VLOOKUP(A67,Calculations!$A$110:$AS$120,23,FALSE),"")</f>
        <v/>
      </c>
      <c r="Q67" s="77">
        <f>IFERROR(VLOOKUP(A67,Calculations!$A$110:$AS$120,24,FALSE),"")</f>
        <v>0.6216216216216216</v>
      </c>
      <c r="R67" s="77">
        <f>IFERROR(VLOOKUP(A67,Calculations!$A$110:$AS$120,25,FALSE),"")</f>
        <v>0.55555555555555558</v>
      </c>
      <c r="S67" s="77">
        <f>IFERROR(VLOOKUP(A67,Calculations!$A$110:$AS$120,26,FALSE),"")</f>
        <v>0.71052631578947367</v>
      </c>
      <c r="T67" s="77">
        <f>IFERROR(VLOOKUP(A67,Calculations!$A$110:$AS$120,27,FALSE),"")</f>
        <v>0.54054054054054057</v>
      </c>
      <c r="U67" s="77" t="str">
        <f>IFERROR(VLOOKUP(A67,Calculations!$A$110:$AS$120,28,FALSE),"")</f>
        <v/>
      </c>
      <c r="V67" s="77" t="str">
        <f>IFERROR(VLOOKUP(A67,Calculations!$A$110:$AS$120,29,FALSE),"")</f>
        <v/>
      </c>
      <c r="W67" s="58">
        <f>IFERROR(VLOOKUP(A67,Calculations!$A$110:$AS$120,30,FALSE),"")</f>
        <v>5</v>
      </c>
      <c r="X67" s="55">
        <f>IFERROR(VLOOKUP(A67,Calculations!$A$110:$AS$120,32,FALSE),"")</f>
        <v>0.64084479216058154</v>
      </c>
    </row>
    <row r="68" spans="1:25" ht="15" hidden="1" x14ac:dyDescent="0.3">
      <c r="A68" s="36">
        <v>5</v>
      </c>
      <c r="B68" s="35" t="str">
        <f>IFERROR(VLOOKUP(A68,Calculations!$A$110:$AS$120,6,FALSE),"")</f>
        <v/>
      </c>
      <c r="C68" s="75" t="str">
        <f>IFERROR(VLOOKUP(A68,Calculations!$A$110:$AS$120,7,FALSE),"")</f>
        <v/>
      </c>
      <c r="D68" s="75" t="str">
        <f>IFERROR(VLOOKUP(A68,Calculations!$A$110:$AS$120,8,FALSE),"")</f>
        <v/>
      </c>
      <c r="E68" s="75" t="str">
        <f>IFERROR(VLOOKUP(A68,Calculations!$A$110:$AS$120,11,FALSE),"")</f>
        <v/>
      </c>
      <c r="F68" s="75" t="str">
        <f>IFERROR(VLOOKUP(A68,Calculations!$A$110:$AS$120,12,FALSE),"")</f>
        <v/>
      </c>
      <c r="G68" s="76" t="str">
        <f>IFERROR(VLOOKUP(A68,Calculations!$A$110:$AS$120,14,FALSE),"")</f>
        <v/>
      </c>
      <c r="H68" s="76" t="str">
        <f>IFERROR(VLOOKUP(A68,Calculations!$A$110:$AS$120,15,FALSE),"")</f>
        <v/>
      </c>
      <c r="I68" s="76" t="str">
        <f>IFERROR(VLOOKUP(A68,Calculations!$A$110:$AS$120,16,FALSE),"")</f>
        <v/>
      </c>
      <c r="J68" s="76" t="str">
        <f>IFERROR(VLOOKUP(A68,Calculations!$A$110:$AS$120,17,FALSE),"")</f>
        <v/>
      </c>
      <c r="K68" s="76" t="str">
        <f>IFERROR(VLOOKUP(A68,Calculations!$A$110:$AS$120,18,FALSE),"")</f>
        <v/>
      </c>
      <c r="L68" s="76" t="str">
        <f>IFERROR(VLOOKUP(A68,Calculations!$A$110:$AS$120,19,FALSE),"")</f>
        <v/>
      </c>
      <c r="M68" s="76" t="str">
        <f>IFERROR(VLOOKUP(A68,Calculations!$A$110:$AS$120,20,FALSE),"")</f>
        <v/>
      </c>
      <c r="N68" s="76" t="str">
        <f>IFERROR(VLOOKUP(A68,Calculations!$A$110:$AS$120,21,FALSE),"")</f>
        <v/>
      </c>
      <c r="O68" s="77" t="str">
        <f>IFERROR(VLOOKUP(A68,Calculations!$A$110:$AS$120,22,FALSE),"")</f>
        <v/>
      </c>
      <c r="P68" s="77" t="str">
        <f>IFERROR(VLOOKUP(A68,Calculations!$A$110:$AS$120,23,FALSE),"")</f>
        <v/>
      </c>
      <c r="Q68" s="77" t="str">
        <f>IFERROR(VLOOKUP(A68,Calculations!$A$110:$AS$120,24,FALSE),"")</f>
        <v/>
      </c>
      <c r="R68" s="77" t="str">
        <f>IFERROR(VLOOKUP(A68,Calculations!$A$110:$AS$120,25,FALSE),"")</f>
        <v/>
      </c>
      <c r="S68" s="77" t="str">
        <f>IFERROR(VLOOKUP(A68,Calculations!$A$110:$AS$120,26,FALSE),"")</f>
        <v/>
      </c>
      <c r="T68" s="77" t="str">
        <f>IFERROR(VLOOKUP(A68,Calculations!$A$110:$AS$120,27,FALSE),"")</f>
        <v/>
      </c>
      <c r="U68" s="77" t="str">
        <f>IFERROR(VLOOKUP(A68,Calculations!$A$110:$AS$120,28,FALSE),"")</f>
        <v/>
      </c>
      <c r="V68" s="77" t="str">
        <f>IFERROR(VLOOKUP(A68,Calculations!$A$110:$AS$120,29,FALSE),"")</f>
        <v/>
      </c>
      <c r="W68" s="58" t="str">
        <f>IFERROR(VLOOKUP(A68,Calculations!$A$110:$AS$120,30,FALSE),"")</f>
        <v/>
      </c>
      <c r="X68" s="55" t="str">
        <f>IFERROR(VLOOKUP(A68,Calculations!$A$110:$AS$120,32,FALSE),"")</f>
        <v/>
      </c>
    </row>
    <row r="69" spans="1:25" ht="27" customHeight="1" x14ac:dyDescent="0.3">
      <c r="A69" s="128" t="s">
        <v>208</v>
      </c>
      <c r="B69" s="70" t="s">
        <v>0</v>
      </c>
      <c r="C69" s="70" t="s">
        <v>1</v>
      </c>
      <c r="D69" s="70" t="s">
        <v>2</v>
      </c>
      <c r="E69" s="70" t="s">
        <v>3</v>
      </c>
      <c r="F69" s="70" t="s">
        <v>4</v>
      </c>
      <c r="G69" s="71" t="s">
        <v>150</v>
      </c>
      <c r="H69" s="71" t="s">
        <v>151</v>
      </c>
      <c r="I69" s="71" t="s">
        <v>152</v>
      </c>
      <c r="J69" s="71" t="s">
        <v>153</v>
      </c>
      <c r="K69" s="71" t="s">
        <v>154</v>
      </c>
      <c r="L69" s="71" t="s">
        <v>155</v>
      </c>
      <c r="M69" s="71" t="s">
        <v>156</v>
      </c>
      <c r="N69" s="71" t="s">
        <v>157</v>
      </c>
      <c r="O69" s="72" t="s">
        <v>150</v>
      </c>
      <c r="P69" s="72" t="s">
        <v>151</v>
      </c>
      <c r="Q69" s="72" t="s">
        <v>152</v>
      </c>
      <c r="R69" s="72" t="s">
        <v>153</v>
      </c>
      <c r="S69" s="72" t="s">
        <v>154</v>
      </c>
      <c r="T69" s="72" t="s">
        <v>155</v>
      </c>
      <c r="U69" s="72" t="s">
        <v>156</v>
      </c>
      <c r="V69" s="72" t="s">
        <v>157</v>
      </c>
      <c r="W69" s="73" t="s">
        <v>166</v>
      </c>
      <c r="X69" s="73" t="s">
        <v>167</v>
      </c>
      <c r="Y69" s="74"/>
    </row>
    <row r="70" spans="1:25" ht="15" x14ac:dyDescent="0.3">
      <c r="A70" s="36">
        <v>1</v>
      </c>
      <c r="B70" s="35" t="str">
        <f>IFERROR(VLOOKUP(A70,Calculations!$A$121:$AS$141,6,FALSE),"")</f>
        <v>Steve Merrett</v>
      </c>
      <c r="C70" s="75" t="str">
        <f>IFERROR(VLOOKUP(A70,Calculations!$A$121:$AS$141,7,FALSE),"")</f>
        <v/>
      </c>
      <c r="D70" s="75" t="str">
        <f>IFERROR(VLOOKUP(A70,Calculations!$A$121:$AS$141,8,FALSE),"")</f>
        <v>Visitor</v>
      </c>
      <c r="E70" s="75" t="str">
        <f>IFERROR(VLOOKUP(A70,Calculations!$A$121:$AS$141,9,FALSE),"")</f>
        <v>C</v>
      </c>
      <c r="F70" s="75" t="str">
        <f>IFERROR(VLOOKUP(A70,Calculations!$A$121:$AS$141,12,FALSE),"")</f>
        <v>Visitor</v>
      </c>
      <c r="G70" s="76" t="str">
        <f>IFERROR(VLOOKUP(A70,Calculations!$A$121:$AS$141,14,FALSE),"")</f>
        <v/>
      </c>
      <c r="H70" s="76" t="str">
        <f>IFERROR(VLOOKUP(A70,Calculations!$A$121:$AS$141,15,FALSE),"")</f>
        <v/>
      </c>
      <c r="I70" s="76" t="str">
        <f>IFERROR(VLOOKUP(A70,Calculations!$A$121:$AS$141,16,FALSE),"")</f>
        <v/>
      </c>
      <c r="J70" s="76">
        <f>IFERROR(VLOOKUP(A70,Calculations!$A$121:$AS$141,17,FALSE),"")</f>
        <v>21</v>
      </c>
      <c r="K70" s="76">
        <f>IFERROR(VLOOKUP(A70,Calculations!$A$121:$AS$141,18,FALSE),"")</f>
        <v>22</v>
      </c>
      <c r="L70" s="76" t="str">
        <f>IFERROR(VLOOKUP(A70,Calculations!$A$121:$AS$141,19,FALSE),"")</f>
        <v/>
      </c>
      <c r="M70" s="76" t="str">
        <f>IFERROR(VLOOKUP(A70,Calculations!$A$121:$AS$141,20,FALSE),"")</f>
        <v/>
      </c>
      <c r="N70" s="76" t="str">
        <f>IFERROR(VLOOKUP(A70,Calculations!$A$121:$AS$141,21,FALSE),"")</f>
        <v/>
      </c>
      <c r="O70" s="77" t="str">
        <f>IFERROR(VLOOKUP(A70,Calculations!$A$121:$AS$141,22,FALSE),"")</f>
        <v/>
      </c>
      <c r="P70" s="77" t="str">
        <f>IFERROR(VLOOKUP(A70,Calculations!$A$121:$AS$141,23,FALSE),"")</f>
        <v/>
      </c>
      <c r="Q70" s="77" t="str">
        <f>IFERROR(VLOOKUP(A70,Calculations!$A$121:$AS$141,24,FALSE),"")</f>
        <v/>
      </c>
      <c r="R70" s="77">
        <f>IFERROR(VLOOKUP(A70,Calculations!$A$121:$AS$141,25,FALSE),"")</f>
        <v>0.58333333333333337</v>
      </c>
      <c r="S70" s="77">
        <f>IFERROR(VLOOKUP(A70,Calculations!$A$121:$AS$141,26,FALSE),"")</f>
        <v>0.57894736842105265</v>
      </c>
      <c r="T70" s="77" t="str">
        <f>IFERROR(VLOOKUP(A70,Calculations!$A$121:$AS$141,27,FALSE),"")</f>
        <v/>
      </c>
      <c r="U70" s="77" t="str">
        <f>IFERROR(VLOOKUP(A70,Calculations!$A$121:$AS$141,28,FALSE),"")</f>
        <v/>
      </c>
      <c r="V70" s="77" t="str">
        <f>IFERROR(VLOOKUP(A70,Calculations!$A$121:$AS$141,29,FALSE),"")</f>
        <v/>
      </c>
      <c r="W70" s="58">
        <f>IFERROR(VLOOKUP(A70,Calculations!$A$121:$AS$141,30,FALSE),"")</f>
        <v>2</v>
      </c>
      <c r="X70" s="55">
        <f>IFERROR(VLOOKUP(A70,Calculations!$A$121:$AS$141,31,FALSE),"")</f>
        <v>0.58114035087719307</v>
      </c>
    </row>
    <row r="71" spans="1:25" ht="15" hidden="1" x14ac:dyDescent="0.3">
      <c r="A71" s="36">
        <v>2</v>
      </c>
      <c r="B71" s="35" t="str">
        <f>IFERROR(VLOOKUP(A71,Calculations!$A$121:$AS$141,6,FALSE),"")</f>
        <v/>
      </c>
      <c r="C71" s="75" t="str">
        <f>IFERROR(VLOOKUP(A71,Calculations!$A$121:$AS$141,7,FALSE),"")</f>
        <v/>
      </c>
      <c r="D71" s="75" t="str">
        <f>IFERROR(VLOOKUP(A71,Calculations!$A$121:$AS$141,8,FALSE),"")</f>
        <v/>
      </c>
      <c r="E71" s="75" t="str">
        <f>IFERROR(VLOOKUP(A71,Calculations!$A$121:$AS$141,9,FALSE),"")</f>
        <v/>
      </c>
      <c r="F71" s="75" t="str">
        <f>IFERROR(VLOOKUP(A71,Calculations!$A$121:$AS$141,12,FALSE),"")</f>
        <v/>
      </c>
      <c r="G71" s="76" t="str">
        <f>IFERROR(VLOOKUP(A71,Calculations!$A$121:$AS$141,14,FALSE),"")</f>
        <v/>
      </c>
      <c r="H71" s="76" t="str">
        <f>IFERROR(VLOOKUP(A71,Calculations!$A$121:$AS$141,15,FALSE),"")</f>
        <v/>
      </c>
      <c r="I71" s="76" t="str">
        <f>IFERROR(VLOOKUP(A71,Calculations!$A$121:$AS$141,16,FALSE),"")</f>
        <v/>
      </c>
      <c r="J71" s="76" t="str">
        <f>IFERROR(VLOOKUP(A71,Calculations!$A$121:$AS$141,17,FALSE),"")</f>
        <v/>
      </c>
      <c r="K71" s="76" t="str">
        <f>IFERROR(VLOOKUP(A71,Calculations!$A$121:$AS$141,18,FALSE),"")</f>
        <v/>
      </c>
      <c r="L71" s="76" t="str">
        <f>IFERROR(VLOOKUP(A71,Calculations!$A$121:$AS$141,19,FALSE),"")</f>
        <v/>
      </c>
      <c r="M71" s="76" t="str">
        <f>IFERROR(VLOOKUP(A71,Calculations!$A$121:$AS$141,20,FALSE),"")</f>
        <v/>
      </c>
      <c r="N71" s="76" t="str">
        <f>IFERROR(VLOOKUP(A71,Calculations!$A$121:$AS$141,21,FALSE),"")</f>
        <v/>
      </c>
      <c r="O71" s="77" t="str">
        <f>IFERROR(VLOOKUP(A71,Calculations!$A$121:$AS$141,22,FALSE),"")</f>
        <v/>
      </c>
      <c r="P71" s="77" t="str">
        <f>IFERROR(VLOOKUP(A71,Calculations!$A$121:$AS$141,23,FALSE),"")</f>
        <v/>
      </c>
      <c r="Q71" s="77" t="str">
        <f>IFERROR(VLOOKUP(A71,Calculations!$A$121:$AS$141,24,FALSE),"")</f>
        <v/>
      </c>
      <c r="R71" s="77" t="str">
        <f>IFERROR(VLOOKUP(A71,Calculations!$A$121:$AS$141,25,FALSE),"")</f>
        <v/>
      </c>
      <c r="S71" s="77" t="str">
        <f>IFERROR(VLOOKUP(A71,Calculations!$A$121:$AS$141,26,FALSE),"")</f>
        <v/>
      </c>
      <c r="T71" s="77" t="str">
        <f>IFERROR(VLOOKUP(A71,Calculations!$A$121:$AS$141,27,FALSE),"")</f>
        <v/>
      </c>
      <c r="U71" s="77" t="str">
        <f>IFERROR(VLOOKUP(A71,Calculations!$A$121:$AS$141,28,FALSE),"")</f>
        <v/>
      </c>
      <c r="V71" s="77" t="str">
        <f>IFERROR(VLOOKUP(A71,Calculations!$A$121:$AS$141,29,FALSE),"")</f>
        <v/>
      </c>
      <c r="W71" s="58" t="str">
        <f>IFERROR(VLOOKUP(A71,Calculations!$A$121:$AS$141,30,FALSE),"")</f>
        <v/>
      </c>
      <c r="X71" s="55" t="str">
        <f>IFERROR(VLOOKUP(A71,Calculations!$A$121:$AS$141,31,FALSE),"")</f>
        <v/>
      </c>
    </row>
    <row r="72" spans="1:25" ht="15" hidden="1" x14ac:dyDescent="0.3">
      <c r="A72" s="36">
        <v>3</v>
      </c>
      <c r="B72" s="35" t="str">
        <f>IFERROR(VLOOKUP(A72,Calculations!$A$121:$AS$141,6,FALSE),"")</f>
        <v/>
      </c>
      <c r="C72" s="75" t="str">
        <f>IFERROR(VLOOKUP(A72,Calculations!$A$121:$AS$141,7,FALSE),"")</f>
        <v/>
      </c>
      <c r="D72" s="75" t="str">
        <f>IFERROR(VLOOKUP(A72,Calculations!$A$121:$AS$141,8,FALSE),"")</f>
        <v/>
      </c>
      <c r="E72" s="75" t="str">
        <f>IFERROR(VLOOKUP(A72,Calculations!$A$121:$AS$141,9,FALSE),"")</f>
        <v/>
      </c>
      <c r="F72" s="75" t="str">
        <f>IFERROR(VLOOKUP(A72,Calculations!$A$121:$AS$141,12,FALSE),"")</f>
        <v/>
      </c>
      <c r="G72" s="76" t="str">
        <f>IFERROR(VLOOKUP(A72,Calculations!$A$121:$AS$141,14,FALSE),"")</f>
        <v/>
      </c>
      <c r="H72" s="76" t="str">
        <f>IFERROR(VLOOKUP(A72,Calculations!$A$121:$AS$141,15,FALSE),"")</f>
        <v/>
      </c>
      <c r="I72" s="76" t="str">
        <f>IFERROR(VLOOKUP(A72,Calculations!$A$121:$AS$141,16,FALSE),"")</f>
        <v/>
      </c>
      <c r="J72" s="76" t="str">
        <f>IFERROR(VLOOKUP(A72,Calculations!$A$121:$AS$141,17,FALSE),"")</f>
        <v/>
      </c>
      <c r="K72" s="76" t="str">
        <f>IFERROR(VLOOKUP(A72,Calculations!$A$121:$AS$141,18,FALSE),"")</f>
        <v/>
      </c>
      <c r="L72" s="76" t="str">
        <f>IFERROR(VLOOKUP(A72,Calculations!$A$121:$AS$141,19,FALSE),"")</f>
        <v/>
      </c>
      <c r="M72" s="76" t="str">
        <f>IFERROR(VLOOKUP(A72,Calculations!$A$121:$AS$141,20,FALSE),"")</f>
        <v/>
      </c>
      <c r="N72" s="76" t="str">
        <f>IFERROR(VLOOKUP(A72,Calculations!$A$121:$AS$141,21,FALSE),"")</f>
        <v/>
      </c>
      <c r="O72" s="77" t="str">
        <f>IFERROR(VLOOKUP(A72,Calculations!$A$121:$AS$141,22,FALSE),"")</f>
        <v/>
      </c>
      <c r="P72" s="77" t="str">
        <f>IFERROR(VLOOKUP(A72,Calculations!$A$121:$AS$141,23,FALSE),"")</f>
        <v/>
      </c>
      <c r="Q72" s="77" t="str">
        <f>IFERROR(VLOOKUP(A72,Calculations!$A$121:$AS$141,24,FALSE),"")</f>
        <v/>
      </c>
      <c r="R72" s="77" t="str">
        <f>IFERROR(VLOOKUP(A72,Calculations!$A$121:$AS$141,25,FALSE),"")</f>
        <v/>
      </c>
      <c r="S72" s="77" t="str">
        <f>IFERROR(VLOOKUP(A72,Calculations!$A$121:$AS$141,26,FALSE),"")</f>
        <v/>
      </c>
      <c r="T72" s="77" t="str">
        <f>IFERROR(VLOOKUP(A72,Calculations!$A$121:$AS$141,27,FALSE),"")</f>
        <v/>
      </c>
      <c r="U72" s="77" t="str">
        <f>IFERROR(VLOOKUP(A72,Calculations!$A$121:$AS$141,28,FALSE),"")</f>
        <v/>
      </c>
      <c r="V72" s="77" t="str">
        <f>IFERROR(VLOOKUP(A72,Calculations!$A$121:$AS$141,29,FALSE),"")</f>
        <v/>
      </c>
      <c r="W72" s="58" t="str">
        <f>IFERROR(VLOOKUP(A72,Calculations!$A$121:$AS$141,30,FALSE),"")</f>
        <v/>
      </c>
      <c r="X72" s="55" t="str">
        <f>IFERROR(VLOOKUP(A72,Calculations!$A$121:$AS$141,31,FALSE),"")</f>
        <v/>
      </c>
    </row>
    <row r="73" spans="1:25" ht="15" hidden="1" x14ac:dyDescent="0.3">
      <c r="A73" s="36">
        <v>4</v>
      </c>
      <c r="B73" s="35" t="str">
        <f>IFERROR(VLOOKUP(A73,Calculations!$A$121:$AS$141,6,FALSE),"")</f>
        <v/>
      </c>
      <c r="C73" s="75" t="str">
        <f>IFERROR(VLOOKUP(A73,Calculations!$A$121:$AS$141,7,FALSE),"")</f>
        <v/>
      </c>
      <c r="D73" s="75" t="str">
        <f>IFERROR(VLOOKUP(A73,Calculations!$A$121:$AS$141,8,FALSE),"")</f>
        <v/>
      </c>
      <c r="E73" s="75" t="str">
        <f>IFERROR(VLOOKUP(A73,Calculations!$A$121:$AS$141,9,FALSE),"")</f>
        <v/>
      </c>
      <c r="F73" s="75" t="str">
        <f>IFERROR(VLOOKUP(A73,Calculations!$A$121:$AS$141,12,FALSE),"")</f>
        <v/>
      </c>
      <c r="G73" s="76" t="str">
        <f>IFERROR(VLOOKUP(A73,Calculations!$A$121:$AS$141,14,FALSE),"")</f>
        <v/>
      </c>
      <c r="H73" s="76" t="str">
        <f>IFERROR(VLOOKUP(A73,Calculations!$A$121:$AS$141,15,FALSE),"")</f>
        <v/>
      </c>
      <c r="I73" s="76" t="str">
        <f>IFERROR(VLOOKUP(A73,Calculations!$A$121:$AS$141,16,FALSE),"")</f>
        <v/>
      </c>
      <c r="J73" s="76" t="str">
        <f>IFERROR(VLOOKUP(A73,Calculations!$A$121:$AS$141,17,FALSE),"")</f>
        <v/>
      </c>
      <c r="K73" s="76" t="str">
        <f>IFERROR(VLOOKUP(A73,Calculations!$A$121:$AS$141,18,FALSE),"")</f>
        <v/>
      </c>
      <c r="L73" s="76" t="str">
        <f>IFERROR(VLOOKUP(A73,Calculations!$A$121:$AS$141,19,FALSE),"")</f>
        <v/>
      </c>
      <c r="M73" s="76" t="str">
        <f>IFERROR(VLOOKUP(A73,Calculations!$A$121:$AS$141,20,FALSE),"")</f>
        <v/>
      </c>
      <c r="N73" s="76" t="str">
        <f>IFERROR(VLOOKUP(A73,Calculations!$A$121:$AS$141,21,FALSE),"")</f>
        <v/>
      </c>
      <c r="O73" s="77" t="str">
        <f>IFERROR(VLOOKUP(A73,Calculations!$A$121:$AS$141,22,FALSE),"")</f>
        <v/>
      </c>
      <c r="P73" s="77" t="str">
        <f>IFERROR(VLOOKUP(A73,Calculations!$A$121:$AS$141,23,FALSE),"")</f>
        <v/>
      </c>
      <c r="Q73" s="77" t="str">
        <f>IFERROR(VLOOKUP(A73,Calculations!$A$121:$AS$141,24,FALSE),"")</f>
        <v/>
      </c>
      <c r="R73" s="77" t="str">
        <f>IFERROR(VLOOKUP(A73,Calculations!$A$121:$AS$141,25,FALSE),"")</f>
        <v/>
      </c>
      <c r="S73" s="77" t="str">
        <f>IFERROR(VLOOKUP(A73,Calculations!$A$121:$AS$141,26,FALSE),"")</f>
        <v/>
      </c>
      <c r="T73" s="77" t="str">
        <f>IFERROR(VLOOKUP(A73,Calculations!$A$121:$AS$141,27,FALSE),"")</f>
        <v/>
      </c>
      <c r="U73" s="77" t="str">
        <f>IFERROR(VLOOKUP(A73,Calculations!$A$121:$AS$141,28,FALSE),"")</f>
        <v/>
      </c>
      <c r="V73" s="77" t="str">
        <f>IFERROR(VLOOKUP(A73,Calculations!$A$121:$AS$141,29,FALSE),"")</f>
        <v/>
      </c>
      <c r="W73" s="58" t="str">
        <f>IFERROR(VLOOKUP(A73,Calculations!$A$121:$AS$141,30,FALSE),"")</f>
        <v/>
      </c>
      <c r="X73" s="55" t="str">
        <f>IFERROR(VLOOKUP(A73,Calculations!$A$121:$AS$141,31,FALSE),"")</f>
        <v/>
      </c>
    </row>
    <row r="74" spans="1:25" ht="15" hidden="1" x14ac:dyDescent="0.3">
      <c r="A74" s="36">
        <v>5</v>
      </c>
      <c r="B74" s="35" t="str">
        <f>IFERROR(VLOOKUP(A74,Calculations!$A$121:$AS$141,6,FALSE),"")</f>
        <v/>
      </c>
      <c r="C74" s="75" t="str">
        <f>IFERROR(VLOOKUP(A74,Calculations!$A$121:$AS$141,7,FALSE),"")</f>
        <v/>
      </c>
      <c r="D74" s="75" t="str">
        <f>IFERROR(VLOOKUP(A74,Calculations!$A$121:$AS$141,8,FALSE),"")</f>
        <v/>
      </c>
      <c r="E74" s="75" t="str">
        <f>IFERROR(VLOOKUP(A74,Calculations!$A$121:$AS$141,9,FALSE),"")</f>
        <v/>
      </c>
      <c r="F74" s="75" t="str">
        <f>IFERROR(VLOOKUP(A74,Calculations!$A$121:$AS$141,12,FALSE),"")</f>
        <v/>
      </c>
      <c r="G74" s="76" t="str">
        <f>IFERROR(VLOOKUP(A74,Calculations!$A$121:$AS$141,14,FALSE),"")</f>
        <v/>
      </c>
      <c r="H74" s="76" t="str">
        <f>IFERROR(VLOOKUP(A74,Calculations!$A$121:$AS$141,15,FALSE),"")</f>
        <v/>
      </c>
      <c r="I74" s="76" t="str">
        <f>IFERROR(VLOOKUP(A74,Calculations!$A$121:$AS$141,16,FALSE),"")</f>
        <v/>
      </c>
      <c r="J74" s="76" t="str">
        <f>IFERROR(VLOOKUP(A74,Calculations!$A$121:$AS$141,17,FALSE),"")</f>
        <v/>
      </c>
      <c r="K74" s="76" t="str">
        <f>IFERROR(VLOOKUP(A74,Calculations!$A$121:$AS$141,18,FALSE),"")</f>
        <v/>
      </c>
      <c r="L74" s="76" t="str">
        <f>IFERROR(VLOOKUP(A74,Calculations!$A$121:$AS$141,19,FALSE),"")</f>
        <v/>
      </c>
      <c r="M74" s="76" t="str">
        <f>IFERROR(VLOOKUP(A74,Calculations!$A$121:$AS$141,20,FALSE),"")</f>
        <v/>
      </c>
      <c r="N74" s="76" t="str">
        <f>IFERROR(VLOOKUP(A74,Calculations!$A$121:$AS$141,21,FALSE),"")</f>
        <v/>
      </c>
      <c r="O74" s="77" t="str">
        <f>IFERROR(VLOOKUP(A74,Calculations!$A$121:$AS$141,22,FALSE),"")</f>
        <v/>
      </c>
      <c r="P74" s="77" t="str">
        <f>IFERROR(VLOOKUP(A74,Calculations!$A$121:$AS$141,23,FALSE),"")</f>
        <v/>
      </c>
      <c r="Q74" s="77" t="str">
        <f>IFERROR(VLOOKUP(A74,Calculations!$A$121:$AS$141,24,FALSE),"")</f>
        <v/>
      </c>
      <c r="R74" s="77" t="str">
        <f>IFERROR(VLOOKUP(A74,Calculations!$A$121:$AS$141,25,FALSE),"")</f>
        <v/>
      </c>
      <c r="S74" s="77" t="str">
        <f>IFERROR(VLOOKUP(A74,Calculations!$A$121:$AS$141,26,FALSE),"")</f>
        <v/>
      </c>
      <c r="T74" s="77" t="str">
        <f>IFERROR(VLOOKUP(A74,Calculations!$A$121:$AS$141,27,FALSE),"")</f>
        <v/>
      </c>
      <c r="U74" s="77" t="str">
        <f>IFERROR(VLOOKUP(A74,Calculations!$A$121:$AS$141,28,FALSE),"")</f>
        <v/>
      </c>
      <c r="V74" s="77" t="str">
        <f>IFERROR(VLOOKUP(A74,Calculations!$A$121:$AS$141,29,FALSE),"")</f>
        <v/>
      </c>
      <c r="W74" s="58" t="str">
        <f>IFERROR(VLOOKUP(A74,Calculations!$A$121:$AS$141,30,FALSE),"")</f>
        <v/>
      </c>
      <c r="X74" s="55" t="str">
        <f>IFERROR(VLOOKUP(A74,Calculations!$A$121:$AS$141,31,FALSE),"")</f>
        <v/>
      </c>
    </row>
    <row r="75" spans="1:25" ht="15" hidden="1" x14ac:dyDescent="0.3">
      <c r="B75" s="35" t="str">
        <f>IFERROR(VLOOKUP(A75,Calculations!$A$121:$AS$141,6,FALSE),"")</f>
        <v/>
      </c>
      <c r="C75" s="75" t="str">
        <f>IFERROR(VLOOKUP(A75,Calculations!$A$121:$AS$141,7,FALSE),"")</f>
        <v/>
      </c>
      <c r="D75" s="75" t="str">
        <f>IFERROR(VLOOKUP(A75,Calculations!$A$121:$AS$141,8,FALSE),"")</f>
        <v/>
      </c>
      <c r="E75" s="75" t="str">
        <f>IFERROR(VLOOKUP(A75,Calculations!$A$121:$AS$141,9,FALSE),"")</f>
        <v/>
      </c>
      <c r="F75" s="75" t="str">
        <f>IFERROR(VLOOKUP(A75,Calculations!$A$121:$AS$141,12,FALSE),"")</f>
        <v/>
      </c>
      <c r="G75" s="76" t="str">
        <f>IFERROR(VLOOKUP(A75,Calculations!$A$121:$AS$141,14,FALSE),"")</f>
        <v/>
      </c>
      <c r="H75" s="76" t="str">
        <f>IFERROR(VLOOKUP(A75,Calculations!$A$121:$AS$141,15,FALSE),"")</f>
        <v/>
      </c>
      <c r="I75" s="76" t="str">
        <f>IFERROR(VLOOKUP(A75,Calculations!$A$121:$AS$141,16,FALSE),"")</f>
        <v/>
      </c>
      <c r="J75" s="76" t="str">
        <f>IFERROR(VLOOKUP(A75,Calculations!$A$121:$AS$141,17,FALSE),"")</f>
        <v/>
      </c>
      <c r="K75" s="76" t="str">
        <f>IFERROR(VLOOKUP(A75,Calculations!$A$121:$AS$141,18,FALSE),"")</f>
        <v/>
      </c>
      <c r="L75" s="76" t="str">
        <f>IFERROR(VLOOKUP(A75,Calculations!$A$121:$AS$141,19,FALSE),"")</f>
        <v/>
      </c>
      <c r="M75" s="76" t="str">
        <f>IFERROR(VLOOKUP(A75,Calculations!$A$121:$AS$141,20,FALSE),"")</f>
        <v/>
      </c>
      <c r="N75" s="76" t="str">
        <f>IFERROR(VLOOKUP(A75,Calculations!$A$121:$AS$141,21,FALSE),"")</f>
        <v/>
      </c>
      <c r="O75" s="77" t="str">
        <f>IFERROR(VLOOKUP(A75,Calculations!$A$121:$AS$141,22,FALSE),"")</f>
        <v/>
      </c>
      <c r="P75" s="77" t="str">
        <f>IFERROR(VLOOKUP(A75,Calculations!$A$121:$AS$141,23,FALSE),"")</f>
        <v/>
      </c>
      <c r="Q75" s="77" t="str">
        <f>IFERROR(VLOOKUP(A75,Calculations!$A$121:$AS$141,24,FALSE),"")</f>
        <v/>
      </c>
      <c r="R75" s="77" t="str">
        <f>IFERROR(VLOOKUP(A75,Calculations!$A$121:$AS$141,25,FALSE),"")</f>
        <v/>
      </c>
      <c r="S75" s="77" t="str">
        <f>IFERROR(VLOOKUP(A75,Calculations!$A$121:$AS$141,26,FALSE),"")</f>
        <v/>
      </c>
      <c r="T75" s="77" t="str">
        <f>IFERROR(VLOOKUP(A75,Calculations!$A$121:$AS$141,27,FALSE),"")</f>
        <v/>
      </c>
      <c r="U75" s="77" t="str">
        <f>IFERROR(VLOOKUP(A75,Calculations!$A$121:$AS$141,28,FALSE),"")</f>
        <v/>
      </c>
      <c r="V75" s="77" t="str">
        <f>IFERROR(VLOOKUP(A75,Calculations!$A$121:$AS$141,29,FALSE),"")</f>
        <v/>
      </c>
      <c r="W75" s="58" t="str">
        <f>IFERROR(VLOOKUP(A75,Calculations!$A$121:$AS$141,30,FALSE),"")</f>
        <v/>
      </c>
      <c r="X75" s="55" t="str">
        <f>IFERROR(VLOOKUP(A75,Calculations!$A$121:$AS$141,31,FALSE),"")</f>
        <v/>
      </c>
    </row>
    <row r="76" spans="1:25" ht="15" hidden="1" x14ac:dyDescent="0.3">
      <c r="B76" s="35" t="str">
        <f>IFERROR(VLOOKUP(A76,Calculations!$A$121:$AS$141,6,FALSE),"")</f>
        <v/>
      </c>
      <c r="C76" s="75" t="str">
        <f>IFERROR(VLOOKUP(A76,Calculations!$A$121:$AS$141,7,FALSE),"")</f>
        <v/>
      </c>
      <c r="D76" s="75" t="str">
        <f>IFERROR(VLOOKUP(A76,Calculations!$A$121:$AS$141,8,FALSE),"")</f>
        <v/>
      </c>
      <c r="E76" s="75" t="str">
        <f>IFERROR(VLOOKUP(A76,Calculations!$A$121:$AS$141,9,FALSE),"")</f>
        <v/>
      </c>
      <c r="F76" s="75" t="str">
        <f>IFERROR(VLOOKUP(A76,Calculations!$A$121:$AS$141,12,FALSE),"")</f>
        <v/>
      </c>
      <c r="G76" s="76" t="str">
        <f>IFERROR(VLOOKUP(A76,Calculations!$A$121:$AS$141,14,FALSE),"")</f>
        <v/>
      </c>
      <c r="H76" s="76" t="str">
        <f>IFERROR(VLOOKUP(A76,Calculations!$A$121:$AS$141,15,FALSE),"")</f>
        <v/>
      </c>
      <c r="I76" s="76" t="str">
        <f>IFERROR(VLOOKUP(A76,Calculations!$A$121:$AS$141,16,FALSE),"")</f>
        <v/>
      </c>
      <c r="J76" s="76" t="str">
        <f>IFERROR(VLOOKUP(A76,Calculations!$A$121:$AS$141,17,FALSE),"")</f>
        <v/>
      </c>
      <c r="K76" s="76" t="str">
        <f>IFERROR(VLOOKUP(A76,Calculations!$A$121:$AS$141,18,FALSE),"")</f>
        <v/>
      </c>
      <c r="L76" s="76" t="str">
        <f>IFERROR(VLOOKUP(A76,Calculations!$A$121:$AS$141,19,FALSE),"")</f>
        <v/>
      </c>
      <c r="M76" s="76" t="str">
        <f>IFERROR(VLOOKUP(A76,Calculations!$A$121:$AS$141,20,FALSE),"")</f>
        <v/>
      </c>
      <c r="N76" s="76" t="str">
        <f>IFERROR(VLOOKUP(A76,Calculations!$A$121:$AS$141,21,FALSE),"")</f>
        <v/>
      </c>
      <c r="O76" s="77" t="str">
        <f>IFERROR(VLOOKUP(A76,Calculations!$A$121:$AS$141,22,FALSE),"")</f>
        <v/>
      </c>
      <c r="P76" s="77" t="str">
        <f>IFERROR(VLOOKUP(A76,Calculations!$A$121:$AS$141,23,FALSE),"")</f>
        <v/>
      </c>
      <c r="Q76" s="77" t="str">
        <f>IFERROR(VLOOKUP(A76,Calculations!$A$121:$AS$141,24,FALSE),"")</f>
        <v/>
      </c>
      <c r="R76" s="77" t="str">
        <f>IFERROR(VLOOKUP(A76,Calculations!$A$121:$AS$141,25,FALSE),"")</f>
        <v/>
      </c>
      <c r="S76" s="77" t="str">
        <f>IFERROR(VLOOKUP(A76,Calculations!$A$121:$AS$141,26,FALSE),"")</f>
        <v/>
      </c>
      <c r="T76" s="77" t="str">
        <f>IFERROR(VLOOKUP(A76,Calculations!$A$121:$AS$141,27,FALSE),"")</f>
        <v/>
      </c>
      <c r="U76" s="77" t="str">
        <f>IFERROR(VLOOKUP(A76,Calculations!$A$121:$AS$141,28,FALSE),"")</f>
        <v/>
      </c>
      <c r="V76" s="77" t="str">
        <f>IFERROR(VLOOKUP(A76,Calculations!$A$121:$AS$141,29,FALSE),"")</f>
        <v/>
      </c>
      <c r="W76" s="58" t="str">
        <f>IFERROR(VLOOKUP(A76,Calculations!$A$121:$AS$141,30,FALSE),"")</f>
        <v/>
      </c>
      <c r="X76" s="55" t="str">
        <f>IFERROR(VLOOKUP(A76,Calculations!$A$121:$AS$141,31,FALSE),"")</f>
        <v/>
      </c>
    </row>
    <row r="77" spans="1:25" ht="15" hidden="1" x14ac:dyDescent="0.3">
      <c r="B77" s="35" t="str">
        <f>IFERROR(VLOOKUP(A77,Calculations!$A$121:$AS$141,6,FALSE),"")</f>
        <v/>
      </c>
      <c r="C77" s="75" t="str">
        <f>IFERROR(VLOOKUP(A77,Calculations!$A$121:$AS$141,7,FALSE),"")</f>
        <v/>
      </c>
      <c r="D77" s="75" t="str">
        <f>IFERROR(VLOOKUP(A77,Calculations!$A$121:$AS$141,8,FALSE),"")</f>
        <v/>
      </c>
      <c r="E77" s="75" t="str">
        <f>IFERROR(VLOOKUP(A77,Calculations!$A$121:$AS$141,9,FALSE),"")</f>
        <v/>
      </c>
      <c r="F77" s="75" t="str">
        <f>IFERROR(VLOOKUP(A77,Calculations!$A$121:$AS$141,12,FALSE),"")</f>
        <v/>
      </c>
      <c r="G77" s="76" t="str">
        <f>IFERROR(VLOOKUP(A77,Calculations!$A$121:$AS$141,14,FALSE),"")</f>
        <v/>
      </c>
      <c r="H77" s="76" t="str">
        <f>IFERROR(VLOOKUP(A77,Calculations!$A$121:$AS$141,15,FALSE),"")</f>
        <v/>
      </c>
      <c r="I77" s="76" t="str">
        <f>IFERROR(VLOOKUP(A77,Calculations!$A$121:$AS$141,16,FALSE),"")</f>
        <v/>
      </c>
      <c r="J77" s="76" t="str">
        <f>IFERROR(VLOOKUP(A77,Calculations!$A$121:$AS$141,17,FALSE),"")</f>
        <v/>
      </c>
      <c r="K77" s="76" t="str">
        <f>IFERROR(VLOOKUP(A77,Calculations!$A$121:$AS$141,18,FALSE),"")</f>
        <v/>
      </c>
      <c r="L77" s="76" t="str">
        <f>IFERROR(VLOOKUP(A77,Calculations!$A$121:$AS$141,19,FALSE),"")</f>
        <v/>
      </c>
      <c r="M77" s="76" t="str">
        <f>IFERROR(VLOOKUP(A77,Calculations!$A$121:$AS$141,20,FALSE),"")</f>
        <v/>
      </c>
      <c r="N77" s="76" t="str">
        <f>IFERROR(VLOOKUP(A77,Calculations!$A$121:$AS$141,21,FALSE),"")</f>
        <v/>
      </c>
      <c r="O77" s="77" t="str">
        <f>IFERROR(VLOOKUP(A77,Calculations!$A$121:$AS$141,22,FALSE),"")</f>
        <v/>
      </c>
      <c r="P77" s="77" t="str">
        <f>IFERROR(VLOOKUP(A77,Calculations!$A$121:$AS$141,23,FALSE),"")</f>
        <v/>
      </c>
      <c r="Q77" s="77" t="str">
        <f>IFERROR(VLOOKUP(A77,Calculations!$A$121:$AS$141,24,FALSE),"")</f>
        <v/>
      </c>
      <c r="R77" s="77" t="str">
        <f>IFERROR(VLOOKUP(A77,Calculations!$A$121:$AS$141,25,FALSE),"")</f>
        <v/>
      </c>
      <c r="S77" s="77" t="str">
        <f>IFERROR(VLOOKUP(A77,Calculations!$A$121:$AS$141,26,FALSE),"")</f>
        <v/>
      </c>
      <c r="T77" s="77" t="str">
        <f>IFERROR(VLOOKUP(A77,Calculations!$A$121:$AS$141,27,FALSE),"")</f>
        <v/>
      </c>
      <c r="U77" s="77" t="str">
        <f>IFERROR(VLOOKUP(A77,Calculations!$A$121:$AS$141,28,FALSE),"")</f>
        <v/>
      </c>
      <c r="V77" s="77" t="str">
        <f>IFERROR(VLOOKUP(A77,Calculations!$A$121:$AS$141,29,FALSE),"")</f>
        <v/>
      </c>
      <c r="W77" s="58" t="str">
        <f>IFERROR(VLOOKUP(A77,Calculations!$A$121:$AS$141,30,FALSE),"")</f>
        <v/>
      </c>
      <c r="X77" s="55" t="str">
        <f>IFERROR(VLOOKUP(A77,Calculations!$A$121:$AS$141,31,FALSE),"")</f>
        <v/>
      </c>
    </row>
    <row r="78" spans="1:25" ht="15" hidden="1" x14ac:dyDescent="0.3">
      <c r="B78" s="35" t="str">
        <f>IFERROR(VLOOKUP(A78,Calculations!$A$121:$AS$141,6,FALSE),"")</f>
        <v/>
      </c>
      <c r="C78" s="75" t="str">
        <f>IFERROR(VLOOKUP(A78,Calculations!$A$121:$AS$141,7,FALSE),"")</f>
        <v/>
      </c>
      <c r="D78" s="75" t="str">
        <f>IFERROR(VLOOKUP(A78,Calculations!$A$121:$AS$141,8,FALSE),"")</f>
        <v/>
      </c>
      <c r="E78" s="75" t="str">
        <f>IFERROR(VLOOKUP(A78,Calculations!$A$121:$AS$141,9,FALSE),"")</f>
        <v/>
      </c>
      <c r="F78" s="75" t="str">
        <f>IFERROR(VLOOKUP(A78,Calculations!$A$121:$AS$141,12,FALSE),"")</f>
        <v/>
      </c>
      <c r="G78" s="76" t="str">
        <f>IFERROR(VLOOKUP(A78,Calculations!$A$121:$AS$141,14,FALSE),"")</f>
        <v/>
      </c>
      <c r="H78" s="76" t="str">
        <f>IFERROR(VLOOKUP(A78,Calculations!$A$121:$AS$141,15,FALSE),"")</f>
        <v/>
      </c>
      <c r="I78" s="76" t="str">
        <f>IFERROR(VLOOKUP(A78,Calculations!$A$121:$AS$141,16,FALSE),"")</f>
        <v/>
      </c>
      <c r="J78" s="76" t="str">
        <f>IFERROR(VLOOKUP(A78,Calculations!$A$121:$AS$141,17,FALSE),"")</f>
        <v/>
      </c>
      <c r="K78" s="76" t="str">
        <f>IFERROR(VLOOKUP(A78,Calculations!$A$121:$AS$141,18,FALSE),"")</f>
        <v/>
      </c>
      <c r="L78" s="76" t="str">
        <f>IFERROR(VLOOKUP(A78,Calculations!$A$121:$AS$141,19,FALSE),"")</f>
        <v/>
      </c>
      <c r="M78" s="76" t="str">
        <f>IFERROR(VLOOKUP(A78,Calculations!$A$121:$AS$141,20,FALSE),"")</f>
        <v/>
      </c>
      <c r="N78" s="76" t="str">
        <f>IFERROR(VLOOKUP(A78,Calculations!$A$121:$AS$141,21,FALSE),"")</f>
        <v/>
      </c>
      <c r="O78" s="77" t="str">
        <f>IFERROR(VLOOKUP(A78,Calculations!$A$121:$AS$141,22,FALSE),"")</f>
        <v/>
      </c>
      <c r="P78" s="77" t="str">
        <f>IFERROR(VLOOKUP(A78,Calculations!$A$121:$AS$141,23,FALSE),"")</f>
        <v/>
      </c>
      <c r="Q78" s="77" t="str">
        <f>IFERROR(VLOOKUP(A78,Calculations!$A$121:$AS$141,24,FALSE),"")</f>
        <v/>
      </c>
      <c r="R78" s="77" t="str">
        <f>IFERROR(VLOOKUP(A78,Calculations!$A$121:$AS$141,25,FALSE),"")</f>
        <v/>
      </c>
      <c r="S78" s="77" t="str">
        <f>IFERROR(VLOOKUP(A78,Calculations!$A$121:$AS$141,26,FALSE),"")</f>
        <v/>
      </c>
      <c r="T78" s="77" t="str">
        <f>IFERROR(VLOOKUP(A78,Calculations!$A$121:$AS$141,27,FALSE),"")</f>
        <v/>
      </c>
      <c r="U78" s="77" t="str">
        <f>IFERROR(VLOOKUP(A78,Calculations!$A$121:$AS$141,28,FALSE),"")</f>
        <v/>
      </c>
      <c r="V78" s="77" t="str">
        <f>IFERROR(VLOOKUP(A78,Calculations!$A$121:$AS$141,29,FALSE),"")</f>
        <v/>
      </c>
      <c r="W78" s="58" t="str">
        <f>IFERROR(VLOOKUP(A78,Calculations!$A$121:$AS$141,30,FALSE),"")</f>
        <v/>
      </c>
      <c r="X78" s="55" t="str">
        <f>IFERROR(VLOOKUP(A78,Calculations!$A$121:$AS$141,31,FALSE),"")</f>
        <v/>
      </c>
    </row>
    <row r="79" spans="1:25" ht="15" hidden="1" x14ac:dyDescent="0.3">
      <c r="B79" s="35" t="str">
        <f>IFERROR(VLOOKUP(A79,Calculations!$A$121:$AS$141,6,FALSE),"")</f>
        <v/>
      </c>
      <c r="C79" s="75" t="str">
        <f>IFERROR(VLOOKUP(A79,Calculations!$A$121:$AS$141,7,FALSE),"")</f>
        <v/>
      </c>
      <c r="D79" s="75" t="str">
        <f>IFERROR(VLOOKUP(A79,Calculations!$A$121:$AS$141,8,FALSE),"")</f>
        <v/>
      </c>
      <c r="E79" s="75" t="str">
        <f>IFERROR(VLOOKUP(A79,Calculations!$A$121:$AS$141,9,FALSE),"")</f>
        <v/>
      </c>
      <c r="F79" s="75" t="str">
        <f>IFERROR(VLOOKUP(A79,Calculations!$A$121:$AS$141,12,FALSE),"")</f>
        <v/>
      </c>
      <c r="G79" s="76" t="str">
        <f>IFERROR(VLOOKUP(A79,Calculations!$A$121:$AS$141,14,FALSE),"")</f>
        <v/>
      </c>
      <c r="H79" s="76" t="str">
        <f>IFERROR(VLOOKUP(A79,Calculations!$A$121:$AS$141,15,FALSE),"")</f>
        <v/>
      </c>
      <c r="I79" s="76" t="str">
        <f>IFERROR(VLOOKUP(A79,Calculations!$A$121:$AS$141,16,FALSE),"")</f>
        <v/>
      </c>
      <c r="J79" s="76" t="str">
        <f>IFERROR(VLOOKUP(A79,Calculations!$A$121:$AS$141,17,FALSE),"")</f>
        <v/>
      </c>
      <c r="K79" s="76" t="str">
        <f>IFERROR(VLOOKUP(A79,Calculations!$A$121:$AS$141,18,FALSE),"")</f>
        <v/>
      </c>
      <c r="L79" s="76" t="str">
        <f>IFERROR(VLOOKUP(A79,Calculations!$A$121:$AS$141,19,FALSE),"")</f>
        <v/>
      </c>
      <c r="M79" s="76" t="str">
        <f>IFERROR(VLOOKUP(A79,Calculations!$A$121:$AS$141,20,FALSE),"")</f>
        <v/>
      </c>
      <c r="N79" s="76" t="str">
        <f>IFERROR(VLOOKUP(A79,Calculations!$A$121:$AS$141,21,FALSE),"")</f>
        <v/>
      </c>
      <c r="O79" s="77" t="str">
        <f>IFERROR(VLOOKUP(A79,Calculations!$A$121:$AS$141,22,FALSE),"")</f>
        <v/>
      </c>
      <c r="P79" s="77" t="str">
        <f>IFERROR(VLOOKUP(A79,Calculations!$A$121:$AS$141,23,FALSE),"")</f>
        <v/>
      </c>
      <c r="Q79" s="77" t="str">
        <f>IFERROR(VLOOKUP(A79,Calculations!$A$121:$AS$141,24,FALSE),"")</f>
        <v/>
      </c>
      <c r="R79" s="77" t="str">
        <f>IFERROR(VLOOKUP(A79,Calculations!$A$121:$AS$141,25,FALSE),"")</f>
        <v/>
      </c>
      <c r="S79" s="77" t="str">
        <f>IFERROR(VLOOKUP(A79,Calculations!$A$121:$AS$141,26,FALSE),"")</f>
        <v/>
      </c>
      <c r="T79" s="77" t="str">
        <f>IFERROR(VLOOKUP(A79,Calculations!$A$121:$AS$141,27,FALSE),"")</f>
        <v/>
      </c>
      <c r="U79" s="77" t="str">
        <f>IFERROR(VLOOKUP(A79,Calculations!$A$121:$AS$141,28,FALSE),"")</f>
        <v/>
      </c>
      <c r="V79" s="77" t="str">
        <f>IFERROR(VLOOKUP(A79,Calculations!$A$121:$AS$141,29,FALSE),"")</f>
        <v/>
      </c>
      <c r="W79" s="58" t="str">
        <f>IFERROR(VLOOKUP(A79,Calculations!$A$121:$AS$141,30,FALSE),"")</f>
        <v/>
      </c>
      <c r="X79" s="55" t="str">
        <f>IFERROR(VLOOKUP(A79,Calculations!$A$121:$AS$141,31,FALSE),"")</f>
        <v/>
      </c>
    </row>
    <row r="80" spans="1:25" ht="15" hidden="1" x14ac:dyDescent="0.3">
      <c r="B80" s="35" t="str">
        <f>IFERROR(VLOOKUP(A80,Calculations!$A$121:$AS$141,6,FALSE),"")</f>
        <v/>
      </c>
      <c r="C80" s="75" t="str">
        <f>IFERROR(VLOOKUP(A80,Calculations!$A$121:$AS$141,7,FALSE),"")</f>
        <v/>
      </c>
      <c r="D80" s="75" t="str">
        <f>IFERROR(VLOOKUP(A80,Calculations!$A$121:$AS$141,8,FALSE),"")</f>
        <v/>
      </c>
      <c r="E80" s="75" t="str">
        <f>IFERROR(VLOOKUP(A80,Calculations!$A$121:$AS$141,9,FALSE),"")</f>
        <v/>
      </c>
      <c r="F80" s="75" t="str">
        <f>IFERROR(VLOOKUP(A80,Calculations!$A$121:$AS$141,12,FALSE),"")</f>
        <v/>
      </c>
      <c r="G80" s="76" t="str">
        <f>IFERROR(VLOOKUP(A80,Calculations!$A$121:$AS$141,14,FALSE),"")</f>
        <v/>
      </c>
      <c r="H80" s="76" t="str">
        <f>IFERROR(VLOOKUP(A80,Calculations!$A$121:$AS$141,15,FALSE),"")</f>
        <v/>
      </c>
      <c r="I80" s="76" t="str">
        <f>IFERROR(VLOOKUP(A80,Calculations!$A$121:$AS$141,16,FALSE),"")</f>
        <v/>
      </c>
      <c r="J80" s="76" t="str">
        <f>IFERROR(VLOOKUP(A80,Calculations!$A$121:$AS$141,17,FALSE),"")</f>
        <v/>
      </c>
      <c r="K80" s="76" t="str">
        <f>IFERROR(VLOOKUP(A80,Calculations!$A$121:$AS$141,18,FALSE),"")</f>
        <v/>
      </c>
      <c r="L80" s="76" t="str">
        <f>IFERROR(VLOOKUP(A80,Calculations!$A$121:$AS$141,19,FALSE),"")</f>
        <v/>
      </c>
      <c r="M80" s="76" t="str">
        <f>IFERROR(VLOOKUP(A80,Calculations!$A$121:$AS$141,20,FALSE),"")</f>
        <v/>
      </c>
      <c r="N80" s="76" t="str">
        <f>IFERROR(VLOOKUP(A80,Calculations!$A$121:$AS$141,21,FALSE),"")</f>
        <v/>
      </c>
      <c r="O80" s="77" t="str">
        <f>IFERROR(VLOOKUP(A80,Calculations!$A$121:$AS$141,22,FALSE),"")</f>
        <v/>
      </c>
      <c r="P80" s="77" t="str">
        <f>IFERROR(VLOOKUP(A80,Calculations!$A$121:$AS$141,23,FALSE),"")</f>
        <v/>
      </c>
      <c r="Q80" s="77" t="str">
        <f>IFERROR(VLOOKUP(A80,Calculations!$A$121:$AS$141,24,FALSE),"")</f>
        <v/>
      </c>
      <c r="R80" s="77" t="str">
        <f>IFERROR(VLOOKUP(A80,Calculations!$A$121:$AS$141,25,FALSE),"")</f>
        <v/>
      </c>
      <c r="S80" s="77" t="str">
        <f>IFERROR(VLOOKUP(A80,Calculations!$A$121:$AS$141,26,FALSE),"")</f>
        <v/>
      </c>
      <c r="T80" s="77" t="str">
        <f>IFERROR(VLOOKUP(A80,Calculations!$A$121:$AS$141,27,FALSE),"")</f>
        <v/>
      </c>
      <c r="U80" s="77" t="str">
        <f>IFERROR(VLOOKUP(A80,Calculations!$A$121:$AS$141,28,FALSE),"")</f>
        <v/>
      </c>
      <c r="V80" s="77" t="str">
        <f>IFERROR(VLOOKUP(A80,Calculations!$A$121:$AS$141,29,FALSE),"")</f>
        <v/>
      </c>
      <c r="W80" s="58" t="str">
        <f>IFERROR(VLOOKUP(A80,Calculations!$A$121:$AS$141,30,FALSE),"")</f>
        <v/>
      </c>
      <c r="X80" s="55" t="str">
        <f>IFERROR(VLOOKUP(A80,Calculations!$A$121:$AS$141,31,FALSE),"")</f>
        <v/>
      </c>
    </row>
    <row r="81" spans="2:24" ht="15" hidden="1" x14ac:dyDescent="0.3">
      <c r="B81" s="35" t="str">
        <f>IFERROR(VLOOKUP(A81,Calculations!$A$121:$AS$141,6,FALSE),"")</f>
        <v/>
      </c>
      <c r="C81" s="75" t="str">
        <f>IFERROR(VLOOKUP(A81,Calculations!$A$121:$AS$141,7,FALSE),"")</f>
        <v/>
      </c>
      <c r="D81" s="75" t="str">
        <f>IFERROR(VLOOKUP(A81,Calculations!$A$121:$AS$141,8,FALSE),"")</f>
        <v/>
      </c>
      <c r="E81" s="75" t="str">
        <f>IFERROR(VLOOKUP(A81,Calculations!$A$121:$AS$141,9,FALSE),"")</f>
        <v/>
      </c>
      <c r="F81" s="75" t="str">
        <f>IFERROR(VLOOKUP(A81,Calculations!$A$121:$AS$141,12,FALSE),"")</f>
        <v/>
      </c>
      <c r="G81" s="76" t="str">
        <f>IFERROR(VLOOKUP(A81,Calculations!$A$121:$AS$141,14,FALSE),"")</f>
        <v/>
      </c>
      <c r="H81" s="76" t="str">
        <f>IFERROR(VLOOKUP(A81,Calculations!$A$121:$AS$141,15,FALSE),"")</f>
        <v/>
      </c>
      <c r="I81" s="76" t="str">
        <f>IFERROR(VLOOKUP(A81,Calculations!$A$121:$AS$141,16,FALSE),"")</f>
        <v/>
      </c>
      <c r="J81" s="76" t="str">
        <f>IFERROR(VLOOKUP(A81,Calculations!$A$121:$AS$141,17,FALSE),"")</f>
        <v/>
      </c>
      <c r="K81" s="76" t="str">
        <f>IFERROR(VLOOKUP(A81,Calculations!$A$121:$AS$141,18,FALSE),"")</f>
        <v/>
      </c>
      <c r="L81" s="76" t="str">
        <f>IFERROR(VLOOKUP(A81,Calculations!$A$121:$AS$141,19,FALSE),"")</f>
        <v/>
      </c>
      <c r="M81" s="76" t="str">
        <f>IFERROR(VLOOKUP(A81,Calculations!$A$121:$AS$141,20,FALSE),"")</f>
        <v/>
      </c>
      <c r="N81" s="76" t="str">
        <f>IFERROR(VLOOKUP(A81,Calculations!$A$121:$AS$141,21,FALSE),"")</f>
        <v/>
      </c>
      <c r="O81" s="77" t="str">
        <f>IFERROR(VLOOKUP(A81,Calculations!$A$121:$AS$141,22,FALSE),"")</f>
        <v/>
      </c>
      <c r="P81" s="77" t="str">
        <f>IFERROR(VLOOKUP(A81,Calculations!$A$121:$AS$141,23,FALSE),"")</f>
        <v/>
      </c>
      <c r="Q81" s="77" t="str">
        <f>IFERROR(VLOOKUP(A81,Calculations!$A$121:$AS$141,24,FALSE),"")</f>
        <v/>
      </c>
      <c r="R81" s="77" t="str">
        <f>IFERROR(VLOOKUP(A81,Calculations!$A$121:$AS$141,25,FALSE),"")</f>
        <v/>
      </c>
      <c r="S81" s="77" t="str">
        <f>IFERROR(VLOOKUP(A81,Calculations!$A$121:$AS$141,26,FALSE),"")</f>
        <v/>
      </c>
      <c r="T81" s="77" t="str">
        <f>IFERROR(VLOOKUP(A81,Calculations!$A$121:$AS$141,27,FALSE),"")</f>
        <v/>
      </c>
      <c r="U81" s="77" t="str">
        <f>IFERROR(VLOOKUP(A81,Calculations!$A$121:$AS$141,28,FALSE),"")</f>
        <v/>
      </c>
      <c r="V81" s="77" t="str">
        <f>IFERROR(VLOOKUP(A81,Calculations!$A$121:$AS$141,29,FALSE),"")</f>
        <v/>
      </c>
      <c r="W81" s="58" t="str">
        <f>IFERROR(VLOOKUP(A81,Calculations!$A$121:$AS$141,30,FALSE),"")</f>
        <v/>
      </c>
      <c r="X81" s="55" t="str">
        <f>IFERROR(VLOOKUP(A81,Calculations!$A$121:$AS$141,31,FALSE),"")</f>
        <v/>
      </c>
    </row>
    <row r="82" spans="2:24" ht="15" hidden="1" x14ac:dyDescent="0.3">
      <c r="B82" s="35" t="str">
        <f>IFERROR(VLOOKUP(A82,Calculations!$A$121:$AS$141,6,FALSE),"")</f>
        <v/>
      </c>
      <c r="C82" s="75" t="str">
        <f>IFERROR(VLOOKUP(A82,Calculations!$A$121:$AS$141,7,FALSE),"")</f>
        <v/>
      </c>
      <c r="D82" s="75" t="str">
        <f>IFERROR(VLOOKUP(A82,Calculations!$A$121:$AS$141,8,FALSE),"")</f>
        <v/>
      </c>
      <c r="E82" s="75" t="str">
        <f>IFERROR(VLOOKUP(A82,Calculations!$A$121:$AS$141,9,FALSE),"")</f>
        <v/>
      </c>
      <c r="F82" s="75" t="str">
        <f>IFERROR(VLOOKUP(A82,Calculations!$A$121:$AS$141,12,FALSE),"")</f>
        <v/>
      </c>
      <c r="G82" s="76" t="str">
        <f>IFERROR(VLOOKUP(A82,Calculations!$A$121:$AS$141,14,FALSE),"")</f>
        <v/>
      </c>
      <c r="H82" s="76" t="str">
        <f>IFERROR(VLOOKUP(A82,Calculations!$A$121:$AS$141,15,FALSE),"")</f>
        <v/>
      </c>
      <c r="I82" s="76" t="str">
        <f>IFERROR(VLOOKUP(A82,Calculations!$A$121:$AS$141,16,FALSE),"")</f>
        <v/>
      </c>
      <c r="J82" s="76" t="str">
        <f>IFERROR(VLOOKUP(A82,Calculations!$A$121:$AS$141,17,FALSE),"")</f>
        <v/>
      </c>
      <c r="K82" s="76" t="str">
        <f>IFERROR(VLOOKUP(A82,Calculations!$A$121:$AS$141,18,FALSE),"")</f>
        <v/>
      </c>
      <c r="L82" s="76" t="str">
        <f>IFERROR(VLOOKUP(A82,Calculations!$A$121:$AS$141,19,FALSE),"")</f>
        <v/>
      </c>
      <c r="M82" s="76" t="str">
        <f>IFERROR(VLOOKUP(A82,Calculations!$A$121:$AS$141,20,FALSE),"")</f>
        <v/>
      </c>
      <c r="N82" s="76" t="str">
        <f>IFERROR(VLOOKUP(A82,Calculations!$A$121:$AS$141,21,FALSE),"")</f>
        <v/>
      </c>
      <c r="O82" s="77" t="str">
        <f>IFERROR(VLOOKUP(A82,Calculations!$A$121:$AS$141,22,FALSE),"")</f>
        <v/>
      </c>
      <c r="P82" s="77" t="str">
        <f>IFERROR(VLOOKUP(A82,Calculations!$A$121:$AS$141,23,FALSE),"")</f>
        <v/>
      </c>
      <c r="Q82" s="77" t="str">
        <f>IFERROR(VLOOKUP(A82,Calculations!$A$121:$AS$141,24,FALSE),"")</f>
        <v/>
      </c>
      <c r="R82" s="77" t="str">
        <f>IFERROR(VLOOKUP(A82,Calculations!$A$121:$AS$141,25,FALSE),"")</f>
        <v/>
      </c>
      <c r="S82" s="77" t="str">
        <f>IFERROR(VLOOKUP(A82,Calculations!$A$121:$AS$141,26,FALSE),"")</f>
        <v/>
      </c>
      <c r="T82" s="77" t="str">
        <f>IFERROR(VLOOKUP(A82,Calculations!$A$121:$AS$141,27,FALSE),"")</f>
        <v/>
      </c>
      <c r="U82" s="77" t="str">
        <f>IFERROR(VLOOKUP(A82,Calculations!$A$121:$AS$141,28,FALSE),"")</f>
        <v/>
      </c>
      <c r="V82" s="77" t="str">
        <f>IFERROR(VLOOKUP(A82,Calculations!$A$121:$AS$141,29,FALSE),"")</f>
        <v/>
      </c>
      <c r="W82" s="58" t="str">
        <f>IFERROR(VLOOKUP(A82,Calculations!$A$121:$AS$141,30,FALSE),"")</f>
        <v/>
      </c>
      <c r="X82" s="55" t="str">
        <f>IFERROR(VLOOKUP(A82,Calculations!$A$121:$AS$141,31,FALSE),"")</f>
        <v/>
      </c>
    </row>
    <row r="83" spans="2:24" ht="15" hidden="1" x14ac:dyDescent="0.3">
      <c r="B83" s="35" t="str">
        <f>IFERROR(VLOOKUP(A83,Calculations!$A$121:$AS$141,6,FALSE),"")</f>
        <v/>
      </c>
      <c r="C83" s="75" t="str">
        <f>IFERROR(VLOOKUP(A83,Calculations!$A$121:$AS$141,7,FALSE),"")</f>
        <v/>
      </c>
      <c r="D83" s="75" t="str">
        <f>IFERROR(VLOOKUP(A83,Calculations!$A$121:$AS$141,8,FALSE),"")</f>
        <v/>
      </c>
      <c r="E83" s="75" t="str">
        <f>IFERROR(VLOOKUP(A83,Calculations!$A$121:$AS$141,9,FALSE),"")</f>
        <v/>
      </c>
      <c r="F83" s="75" t="str">
        <f>IFERROR(VLOOKUP(A83,Calculations!$A$121:$AS$141,12,FALSE),"")</f>
        <v/>
      </c>
      <c r="G83" s="76" t="str">
        <f>IFERROR(VLOOKUP(A83,Calculations!$A$121:$AS$141,14,FALSE),"")</f>
        <v/>
      </c>
      <c r="H83" s="76" t="str">
        <f>IFERROR(VLOOKUP(A83,Calculations!$A$121:$AS$141,15,FALSE),"")</f>
        <v/>
      </c>
      <c r="I83" s="76" t="str">
        <f>IFERROR(VLOOKUP(A83,Calculations!$A$121:$AS$141,16,FALSE),"")</f>
        <v/>
      </c>
      <c r="J83" s="76" t="str">
        <f>IFERROR(VLOOKUP(A83,Calculations!$A$121:$AS$141,17,FALSE),"")</f>
        <v/>
      </c>
      <c r="K83" s="76" t="str">
        <f>IFERROR(VLOOKUP(A83,Calculations!$A$121:$AS$141,18,FALSE),"")</f>
        <v/>
      </c>
      <c r="L83" s="76" t="str">
        <f>IFERROR(VLOOKUP(A83,Calculations!$A$121:$AS$141,19,FALSE),"")</f>
        <v/>
      </c>
      <c r="M83" s="76" t="str">
        <f>IFERROR(VLOOKUP(A83,Calculations!$A$121:$AS$141,20,FALSE),"")</f>
        <v/>
      </c>
      <c r="N83" s="76" t="str">
        <f>IFERROR(VLOOKUP(A83,Calculations!$A$121:$AS$141,21,FALSE),"")</f>
        <v/>
      </c>
      <c r="O83" s="77" t="str">
        <f>IFERROR(VLOOKUP(A83,Calculations!$A$121:$AS$141,22,FALSE),"")</f>
        <v/>
      </c>
      <c r="P83" s="77" t="str">
        <f>IFERROR(VLOOKUP(A83,Calculations!$A$121:$AS$141,23,FALSE),"")</f>
        <v/>
      </c>
      <c r="Q83" s="77" t="str">
        <f>IFERROR(VLOOKUP(A83,Calculations!$A$121:$AS$141,24,FALSE),"")</f>
        <v/>
      </c>
      <c r="R83" s="77" t="str">
        <f>IFERROR(VLOOKUP(A83,Calculations!$A$121:$AS$141,25,FALSE),"")</f>
        <v/>
      </c>
      <c r="S83" s="77" t="str">
        <f>IFERROR(VLOOKUP(A83,Calculations!$A$121:$AS$141,26,FALSE),"")</f>
        <v/>
      </c>
      <c r="T83" s="77" t="str">
        <f>IFERROR(VLOOKUP(A83,Calculations!$A$121:$AS$141,27,FALSE),"")</f>
        <v/>
      </c>
      <c r="U83" s="77" t="str">
        <f>IFERROR(VLOOKUP(A83,Calculations!$A$121:$AS$141,28,FALSE),"")</f>
        <v/>
      </c>
      <c r="V83" s="77" t="str">
        <f>IFERROR(VLOOKUP(A83,Calculations!$A$121:$AS$141,29,FALSE),"")</f>
        <v/>
      </c>
      <c r="W83" s="58" t="str">
        <f>IFERROR(VLOOKUP(A83,Calculations!$A$121:$AS$141,30,FALSE),"")</f>
        <v/>
      </c>
      <c r="X83" s="55" t="str">
        <f>IFERROR(VLOOKUP(A83,Calculations!$A$121:$AS$141,31,FALSE),"")</f>
        <v/>
      </c>
    </row>
    <row r="84" spans="2:24" ht="15" hidden="1" x14ac:dyDescent="0.3">
      <c r="B84" s="35" t="str">
        <f>IFERROR(VLOOKUP(A84,Calculations!$A$121:$AS$141,6,FALSE),"")</f>
        <v/>
      </c>
      <c r="C84" s="75" t="str">
        <f>IFERROR(VLOOKUP(A84,Calculations!$A$121:$AS$141,7,FALSE),"")</f>
        <v/>
      </c>
      <c r="D84" s="75" t="str">
        <f>IFERROR(VLOOKUP(A84,Calculations!$A$121:$AS$141,8,FALSE),"")</f>
        <v/>
      </c>
      <c r="E84" s="75" t="str">
        <f>IFERROR(VLOOKUP(A84,Calculations!$A$121:$AS$141,9,FALSE),"")</f>
        <v/>
      </c>
      <c r="F84" s="75" t="str">
        <f>IFERROR(VLOOKUP(A84,Calculations!$A$121:$AS$141,12,FALSE),"")</f>
        <v/>
      </c>
      <c r="G84" s="76" t="str">
        <f>IFERROR(VLOOKUP(A84,Calculations!$A$121:$AS$141,14,FALSE),"")</f>
        <v/>
      </c>
      <c r="H84" s="76" t="str">
        <f>IFERROR(VLOOKUP(A84,Calculations!$A$121:$AS$141,15,FALSE),"")</f>
        <v/>
      </c>
      <c r="I84" s="76" t="str">
        <f>IFERROR(VLOOKUP(A84,Calculations!$A$121:$AS$141,16,FALSE),"")</f>
        <v/>
      </c>
      <c r="J84" s="76" t="str">
        <f>IFERROR(VLOOKUP(A84,Calculations!$A$121:$AS$141,17,FALSE),"")</f>
        <v/>
      </c>
      <c r="K84" s="76" t="str">
        <f>IFERROR(VLOOKUP(A84,Calculations!$A$121:$AS$141,18,FALSE),"")</f>
        <v/>
      </c>
      <c r="L84" s="76" t="str">
        <f>IFERROR(VLOOKUP(A84,Calculations!$A$121:$AS$141,19,FALSE),"")</f>
        <v/>
      </c>
      <c r="M84" s="76" t="str">
        <f>IFERROR(VLOOKUP(A84,Calculations!$A$121:$AS$141,20,FALSE),"")</f>
        <v/>
      </c>
      <c r="N84" s="76" t="str">
        <f>IFERROR(VLOOKUP(A84,Calculations!$A$121:$AS$141,21,FALSE),"")</f>
        <v/>
      </c>
      <c r="O84" s="77" t="str">
        <f>IFERROR(VLOOKUP(A84,Calculations!$A$121:$AS$141,22,FALSE),"")</f>
        <v/>
      </c>
      <c r="P84" s="77" t="str">
        <f>IFERROR(VLOOKUP(A84,Calculations!$A$121:$AS$141,23,FALSE),"")</f>
        <v/>
      </c>
      <c r="Q84" s="77" t="str">
        <f>IFERROR(VLOOKUP(A84,Calculations!$A$121:$AS$141,24,FALSE),"")</f>
        <v/>
      </c>
      <c r="R84" s="77" t="str">
        <f>IFERROR(VLOOKUP(A84,Calculations!$A$121:$AS$141,25,FALSE),"")</f>
        <v/>
      </c>
      <c r="S84" s="77" t="str">
        <f>IFERROR(VLOOKUP(A84,Calculations!$A$121:$AS$141,26,FALSE),"")</f>
        <v/>
      </c>
      <c r="T84" s="77" t="str">
        <f>IFERROR(VLOOKUP(A84,Calculations!$A$121:$AS$141,27,FALSE),"")</f>
        <v/>
      </c>
      <c r="U84" s="77" t="str">
        <f>IFERROR(VLOOKUP(A84,Calculations!$A$121:$AS$141,28,FALSE),"")</f>
        <v/>
      </c>
      <c r="V84" s="77" t="str">
        <f>IFERROR(VLOOKUP(A84,Calculations!$A$121:$AS$141,29,FALSE),"")</f>
        <v/>
      </c>
      <c r="W84" s="58" t="str">
        <f>IFERROR(VLOOKUP(A84,Calculations!$A$121:$AS$141,30,FALSE),"")</f>
        <v/>
      </c>
      <c r="X84" s="55" t="str">
        <f>IFERROR(VLOOKUP(A84,Calculations!$A$121:$AS$141,31,FALSE),"")</f>
        <v/>
      </c>
    </row>
    <row r="85" spans="2:24" ht="15" hidden="1" x14ac:dyDescent="0.3">
      <c r="B85" s="35" t="str">
        <f>IFERROR(VLOOKUP(A85,Calculations!$A$121:$AS$141,6,FALSE),"")</f>
        <v/>
      </c>
      <c r="C85" s="75" t="str">
        <f>IFERROR(VLOOKUP(A85,Calculations!$A$121:$AS$141,7,FALSE),"")</f>
        <v/>
      </c>
      <c r="D85" s="75" t="str">
        <f>IFERROR(VLOOKUP(A85,Calculations!$A$121:$AS$141,8,FALSE),"")</f>
        <v/>
      </c>
      <c r="E85" s="75" t="str">
        <f>IFERROR(VLOOKUP(A85,Calculations!$A$121:$AS$141,9,FALSE),"")</f>
        <v/>
      </c>
      <c r="F85" s="75" t="str">
        <f>IFERROR(VLOOKUP(A85,Calculations!$A$121:$AS$141,12,FALSE),"")</f>
        <v/>
      </c>
      <c r="G85" s="76" t="str">
        <f>IFERROR(VLOOKUP(A85,Calculations!$A$121:$AS$141,14,FALSE),"")</f>
        <v/>
      </c>
      <c r="H85" s="76" t="str">
        <f>IFERROR(VLOOKUP(A85,Calculations!$A$121:$AS$141,15,FALSE),"")</f>
        <v/>
      </c>
      <c r="I85" s="76" t="str">
        <f>IFERROR(VLOOKUP(A85,Calculations!$A$121:$AS$141,16,FALSE),"")</f>
        <v/>
      </c>
      <c r="J85" s="76" t="str">
        <f>IFERROR(VLOOKUP(A85,Calculations!$A$121:$AS$141,17,FALSE),"")</f>
        <v/>
      </c>
      <c r="K85" s="76" t="str">
        <f>IFERROR(VLOOKUP(A85,Calculations!$A$121:$AS$141,18,FALSE),"")</f>
        <v/>
      </c>
      <c r="L85" s="76" t="str">
        <f>IFERROR(VLOOKUP(A85,Calculations!$A$121:$AS$141,19,FALSE),"")</f>
        <v/>
      </c>
      <c r="M85" s="76" t="str">
        <f>IFERROR(VLOOKUP(A85,Calculations!$A$121:$AS$141,20,FALSE),"")</f>
        <v/>
      </c>
      <c r="N85" s="76" t="str">
        <f>IFERROR(VLOOKUP(A85,Calculations!$A$121:$AS$141,21,FALSE),"")</f>
        <v/>
      </c>
      <c r="O85" s="77" t="str">
        <f>IFERROR(VLOOKUP(A85,Calculations!$A$121:$AS$141,22,FALSE),"")</f>
        <v/>
      </c>
      <c r="P85" s="77" t="str">
        <f>IFERROR(VLOOKUP(A85,Calculations!$A$121:$AS$141,23,FALSE),"")</f>
        <v/>
      </c>
      <c r="Q85" s="77" t="str">
        <f>IFERROR(VLOOKUP(A85,Calculations!$A$121:$AS$141,24,FALSE),"")</f>
        <v/>
      </c>
      <c r="R85" s="77" t="str">
        <f>IFERROR(VLOOKUP(A85,Calculations!$A$121:$AS$141,25,FALSE),"")</f>
        <v/>
      </c>
      <c r="S85" s="77" t="str">
        <f>IFERROR(VLOOKUP(A85,Calculations!$A$121:$AS$141,26,FALSE),"")</f>
        <v/>
      </c>
      <c r="T85" s="77" t="str">
        <f>IFERROR(VLOOKUP(A85,Calculations!$A$121:$AS$141,27,FALSE),"")</f>
        <v/>
      </c>
      <c r="U85" s="77" t="str">
        <f>IFERROR(VLOOKUP(A85,Calculations!$A$121:$AS$141,28,FALSE),"")</f>
        <v/>
      </c>
      <c r="V85" s="77" t="str">
        <f>IFERROR(VLOOKUP(A85,Calculations!$A$121:$AS$141,29,FALSE),"")</f>
        <v/>
      </c>
      <c r="W85" s="58" t="str">
        <f>IFERROR(VLOOKUP(A85,Calculations!$A$121:$AS$141,30,FALSE),"")</f>
        <v/>
      </c>
      <c r="X85" s="55" t="str">
        <f>IFERROR(VLOOKUP(A85,Calculations!$A$121:$AS$141,31,FALSE),"")</f>
        <v/>
      </c>
    </row>
    <row r="86" spans="2:24" ht="15" hidden="1" x14ac:dyDescent="0.3">
      <c r="B86" s="35" t="str">
        <f>IFERROR(VLOOKUP(A86,Calculations!$A$121:$AS$141,6,FALSE),"")</f>
        <v/>
      </c>
      <c r="C86" s="75" t="str">
        <f>IFERROR(VLOOKUP(A86,Calculations!$A$121:$AS$141,7,FALSE),"")</f>
        <v/>
      </c>
      <c r="D86" s="75" t="str">
        <f>IFERROR(VLOOKUP(A86,Calculations!$A$121:$AS$141,8,FALSE),"")</f>
        <v/>
      </c>
      <c r="E86" s="75" t="str">
        <f>IFERROR(VLOOKUP(A86,Calculations!$A$121:$AS$141,9,FALSE),"")</f>
        <v/>
      </c>
      <c r="F86" s="75" t="str">
        <f>IFERROR(VLOOKUP(A86,Calculations!$A$121:$AS$141,12,FALSE),"")</f>
        <v/>
      </c>
      <c r="G86" s="76" t="str">
        <f>IFERROR(VLOOKUP(A86,Calculations!$A$121:$AS$141,14,FALSE),"")</f>
        <v/>
      </c>
      <c r="H86" s="76" t="str">
        <f>IFERROR(VLOOKUP(A86,Calculations!$A$121:$AS$141,15,FALSE),"")</f>
        <v/>
      </c>
      <c r="I86" s="76" t="str">
        <f>IFERROR(VLOOKUP(A86,Calculations!$A$121:$AS$141,16,FALSE),"")</f>
        <v/>
      </c>
      <c r="J86" s="76" t="str">
        <f>IFERROR(VLOOKUP(A86,Calculations!$A$121:$AS$141,17,FALSE),"")</f>
        <v/>
      </c>
      <c r="K86" s="76" t="str">
        <f>IFERROR(VLOOKUP(A86,Calculations!$A$121:$AS$141,18,FALSE),"")</f>
        <v/>
      </c>
      <c r="L86" s="76" t="str">
        <f>IFERROR(VLOOKUP(A86,Calculations!$A$121:$AS$141,19,FALSE),"")</f>
        <v/>
      </c>
      <c r="M86" s="76" t="str">
        <f>IFERROR(VLOOKUP(A86,Calculations!$A$121:$AS$141,20,FALSE),"")</f>
        <v/>
      </c>
      <c r="N86" s="76" t="str">
        <f>IFERROR(VLOOKUP(A86,Calculations!$A$121:$AS$141,21,FALSE),"")</f>
        <v/>
      </c>
      <c r="O86" s="77" t="str">
        <f>IFERROR(VLOOKUP(A86,Calculations!$A$121:$AS$141,22,FALSE),"")</f>
        <v/>
      </c>
      <c r="P86" s="77" t="str">
        <f>IFERROR(VLOOKUP(A86,Calculations!$A$121:$AS$141,23,FALSE),"")</f>
        <v/>
      </c>
      <c r="Q86" s="77" t="str">
        <f>IFERROR(VLOOKUP(A86,Calculations!$A$121:$AS$141,24,FALSE),"")</f>
        <v/>
      </c>
      <c r="R86" s="77" t="str">
        <f>IFERROR(VLOOKUP(A86,Calculations!$A$121:$AS$141,25,FALSE),"")</f>
        <v/>
      </c>
      <c r="S86" s="77" t="str">
        <f>IFERROR(VLOOKUP(A86,Calculations!$A$121:$AS$141,26,FALSE),"")</f>
        <v/>
      </c>
      <c r="T86" s="77" t="str">
        <f>IFERROR(VLOOKUP(A86,Calculations!$A$121:$AS$141,27,FALSE),"")</f>
        <v/>
      </c>
      <c r="U86" s="77" t="str">
        <f>IFERROR(VLOOKUP(A86,Calculations!$A$121:$AS$141,28,FALSE),"")</f>
        <v/>
      </c>
      <c r="V86" s="77" t="str">
        <f>IFERROR(VLOOKUP(A86,Calculations!$A$121:$AS$141,29,FALSE),"")</f>
        <v/>
      </c>
      <c r="W86" s="58" t="str">
        <f>IFERROR(VLOOKUP(A86,Calculations!$A$121:$AS$141,30,FALSE),"")</f>
        <v/>
      </c>
      <c r="X86" s="55" t="str">
        <f>IFERROR(VLOOKUP(A86,Calculations!$A$121:$AS$141,31,FALSE),"")</f>
        <v/>
      </c>
    </row>
    <row r="87" spans="2:24" ht="15" hidden="1" x14ac:dyDescent="0.3">
      <c r="B87" s="35" t="str">
        <f>IFERROR(VLOOKUP(A87,Calculations!$A$121:$AS$141,6,FALSE),"")</f>
        <v/>
      </c>
      <c r="C87" s="75" t="str">
        <f>IFERROR(VLOOKUP(A87,Calculations!$A$121:$AS$141,7,FALSE),"")</f>
        <v/>
      </c>
      <c r="D87" s="75" t="str">
        <f>IFERROR(VLOOKUP(A87,Calculations!$A$121:$AS$141,8,FALSE),"")</f>
        <v/>
      </c>
      <c r="E87" s="75" t="str">
        <f>IFERROR(VLOOKUP(A87,Calculations!$A$121:$AS$141,9,FALSE),"")</f>
        <v/>
      </c>
      <c r="F87" s="75" t="str">
        <f>IFERROR(VLOOKUP(A87,Calculations!$A$121:$AS$141,12,FALSE),"")</f>
        <v/>
      </c>
      <c r="G87" s="76" t="str">
        <f>IFERROR(VLOOKUP(A87,Calculations!$A$121:$AS$141,14,FALSE),"")</f>
        <v/>
      </c>
      <c r="H87" s="76" t="str">
        <f>IFERROR(VLOOKUP(A87,Calculations!$A$121:$AS$141,15,FALSE),"")</f>
        <v/>
      </c>
      <c r="I87" s="76" t="str">
        <f>IFERROR(VLOOKUP(A87,Calculations!$A$121:$AS$141,16,FALSE),"")</f>
        <v/>
      </c>
      <c r="J87" s="76" t="str">
        <f>IFERROR(VLOOKUP(A87,Calculations!$A$121:$AS$141,17,FALSE),"")</f>
        <v/>
      </c>
      <c r="K87" s="76" t="str">
        <f>IFERROR(VLOOKUP(A87,Calculations!$A$121:$AS$141,18,FALSE),"")</f>
        <v/>
      </c>
      <c r="L87" s="76" t="str">
        <f>IFERROR(VLOOKUP(A87,Calculations!$A$121:$AS$141,19,FALSE),"")</f>
        <v/>
      </c>
      <c r="M87" s="76" t="str">
        <f>IFERROR(VLOOKUP(A87,Calculations!$A$121:$AS$141,20,FALSE),"")</f>
        <v/>
      </c>
      <c r="N87" s="76" t="str">
        <f>IFERROR(VLOOKUP(A87,Calculations!$A$121:$AS$141,21,FALSE),"")</f>
        <v/>
      </c>
      <c r="O87" s="77" t="str">
        <f>IFERROR(VLOOKUP(A87,Calculations!$A$121:$AS$141,22,FALSE),"")</f>
        <v/>
      </c>
      <c r="P87" s="77" t="str">
        <f>IFERROR(VLOOKUP(A87,Calculations!$A$121:$AS$141,23,FALSE),"")</f>
        <v/>
      </c>
      <c r="Q87" s="77" t="str">
        <f>IFERROR(VLOOKUP(A87,Calculations!$A$121:$AS$141,24,FALSE),"")</f>
        <v/>
      </c>
      <c r="R87" s="77" t="str">
        <f>IFERROR(VLOOKUP(A87,Calculations!$A$121:$AS$141,25,FALSE),"")</f>
        <v/>
      </c>
      <c r="S87" s="77" t="str">
        <f>IFERROR(VLOOKUP(A87,Calculations!$A$121:$AS$141,26,FALSE),"")</f>
        <v/>
      </c>
      <c r="T87" s="77" t="str">
        <f>IFERROR(VLOOKUP(A87,Calculations!$A$121:$AS$141,27,FALSE),"")</f>
        <v/>
      </c>
      <c r="U87" s="77" t="str">
        <f>IFERROR(VLOOKUP(A87,Calculations!$A$121:$AS$141,28,FALSE),"")</f>
        <v/>
      </c>
      <c r="V87" s="77" t="str">
        <f>IFERROR(VLOOKUP(A87,Calculations!$A$121:$AS$141,29,FALSE),"")</f>
        <v/>
      </c>
      <c r="W87" s="58" t="str">
        <f>IFERROR(VLOOKUP(A87,Calculations!$A$121:$AS$141,30,FALSE),"")</f>
        <v/>
      </c>
      <c r="X87" s="55" t="str">
        <f>IFERROR(VLOOKUP(A87,Calculations!$A$121:$AS$141,31,FALSE),"")</f>
        <v/>
      </c>
    </row>
    <row r="88" spans="2:24" ht="15" hidden="1" x14ac:dyDescent="0.3">
      <c r="B88" s="35" t="str">
        <f>IFERROR(VLOOKUP(A88,Calculations!$A$121:$AS$141,6,FALSE),"")</f>
        <v/>
      </c>
      <c r="C88" s="75" t="str">
        <f>IFERROR(VLOOKUP(A88,Calculations!$A$121:$AS$141,7,FALSE),"")</f>
        <v/>
      </c>
      <c r="D88" s="75" t="str">
        <f>IFERROR(VLOOKUP(A88,Calculations!$A$121:$AS$141,8,FALSE),"")</f>
        <v/>
      </c>
      <c r="E88" s="75" t="str">
        <f>IFERROR(VLOOKUP(A88,Calculations!$A$121:$AS$141,9,FALSE),"")</f>
        <v/>
      </c>
      <c r="F88" s="75" t="str">
        <f>IFERROR(VLOOKUP(A88,Calculations!$A$121:$AS$141,12,FALSE),"")</f>
        <v/>
      </c>
      <c r="G88" s="76" t="str">
        <f>IFERROR(VLOOKUP(A88,Calculations!$A$121:$AS$141,14,FALSE),"")</f>
        <v/>
      </c>
      <c r="H88" s="76" t="str">
        <f>IFERROR(VLOOKUP(A88,Calculations!$A$121:$AS$141,15,FALSE),"")</f>
        <v/>
      </c>
      <c r="I88" s="76" t="str">
        <f>IFERROR(VLOOKUP(A88,Calculations!$A$121:$AS$141,16,FALSE),"")</f>
        <v/>
      </c>
      <c r="J88" s="76" t="str">
        <f>IFERROR(VLOOKUP(A88,Calculations!$A$121:$AS$141,17,FALSE),"")</f>
        <v/>
      </c>
      <c r="K88" s="76" t="str">
        <f>IFERROR(VLOOKUP(A88,Calculations!$A$121:$AS$141,18,FALSE),"")</f>
        <v/>
      </c>
      <c r="L88" s="76" t="str">
        <f>IFERROR(VLOOKUP(A88,Calculations!$A$121:$AS$141,19,FALSE),"")</f>
        <v/>
      </c>
      <c r="M88" s="76" t="str">
        <f>IFERROR(VLOOKUP(A88,Calculations!$A$121:$AS$141,20,FALSE),"")</f>
        <v/>
      </c>
      <c r="N88" s="76" t="str">
        <f>IFERROR(VLOOKUP(A88,Calculations!$A$121:$AS$141,21,FALSE),"")</f>
        <v/>
      </c>
      <c r="O88" s="77" t="str">
        <f>IFERROR(VLOOKUP(A88,Calculations!$A$121:$AS$141,22,FALSE),"")</f>
        <v/>
      </c>
      <c r="P88" s="77" t="str">
        <f>IFERROR(VLOOKUP(A88,Calculations!$A$121:$AS$141,23,FALSE),"")</f>
        <v/>
      </c>
      <c r="Q88" s="77" t="str">
        <f>IFERROR(VLOOKUP(A88,Calculations!$A$121:$AS$141,24,FALSE),"")</f>
        <v/>
      </c>
      <c r="R88" s="77" t="str">
        <f>IFERROR(VLOOKUP(A88,Calculations!$A$121:$AS$141,25,FALSE),"")</f>
        <v/>
      </c>
      <c r="S88" s="77" t="str">
        <f>IFERROR(VLOOKUP(A88,Calculations!$A$121:$AS$141,26,FALSE),"")</f>
        <v/>
      </c>
      <c r="T88" s="77" t="str">
        <f>IFERROR(VLOOKUP(A88,Calculations!$A$121:$AS$141,27,FALSE),"")</f>
        <v/>
      </c>
      <c r="U88" s="77" t="str">
        <f>IFERROR(VLOOKUP(A88,Calculations!$A$121:$AS$141,28,FALSE),"")</f>
        <v/>
      </c>
      <c r="V88" s="77" t="str">
        <f>IFERROR(VLOOKUP(A88,Calculations!$A$121:$AS$141,29,FALSE),"")</f>
        <v/>
      </c>
      <c r="W88" s="58" t="str">
        <f>IFERROR(VLOOKUP(A88,Calculations!$A$121:$AS$141,30,FALSE),"")</f>
        <v/>
      </c>
      <c r="X88" s="55" t="str">
        <f>IFERROR(VLOOKUP(A88,Calculations!$A$121:$AS$141,31,FALSE),"")</f>
        <v/>
      </c>
    </row>
    <row r="89" spans="2:24" ht="15" hidden="1" x14ac:dyDescent="0.3">
      <c r="B89" s="35" t="str">
        <f>IFERROR(VLOOKUP(A89,Calculations!$A$121:$AS$141,6,FALSE),"")</f>
        <v/>
      </c>
      <c r="C89" s="75" t="str">
        <f>IFERROR(VLOOKUP(A89,Calculations!$A$121:$AS$141,7,FALSE),"")</f>
        <v/>
      </c>
      <c r="D89" s="75" t="str">
        <f>IFERROR(VLOOKUP(A89,Calculations!$A$121:$AS$141,8,FALSE),"")</f>
        <v/>
      </c>
      <c r="E89" s="75" t="str">
        <f>IFERROR(VLOOKUP(A89,Calculations!$A$121:$AS$141,9,FALSE),"")</f>
        <v/>
      </c>
      <c r="F89" s="75" t="str">
        <f>IFERROR(VLOOKUP(A89,Calculations!$A$121:$AS$141,12,FALSE),"")</f>
        <v/>
      </c>
      <c r="G89" s="76" t="str">
        <f>IFERROR(VLOOKUP(A89,Calculations!$A$121:$AS$141,14,FALSE),"")</f>
        <v/>
      </c>
      <c r="H89" s="76" t="str">
        <f>IFERROR(VLOOKUP(A89,Calculations!$A$121:$AS$141,15,FALSE),"")</f>
        <v/>
      </c>
      <c r="I89" s="76" t="str">
        <f>IFERROR(VLOOKUP(A89,Calculations!$A$121:$AS$141,16,FALSE),"")</f>
        <v/>
      </c>
      <c r="J89" s="76" t="str">
        <f>IFERROR(VLOOKUP(A89,Calculations!$A$121:$AS$141,17,FALSE),"")</f>
        <v/>
      </c>
      <c r="K89" s="76" t="str">
        <f>IFERROR(VLOOKUP(A89,Calculations!$A$121:$AS$141,18,FALSE),"")</f>
        <v/>
      </c>
      <c r="L89" s="76" t="str">
        <f>IFERROR(VLOOKUP(A89,Calculations!$A$121:$AS$141,19,FALSE),"")</f>
        <v/>
      </c>
      <c r="M89" s="76" t="str">
        <f>IFERROR(VLOOKUP(A89,Calculations!$A$121:$AS$141,20,FALSE),"")</f>
        <v/>
      </c>
      <c r="N89" s="76" t="str">
        <f>IFERROR(VLOOKUP(A89,Calculations!$A$121:$AS$141,21,FALSE),"")</f>
        <v/>
      </c>
      <c r="O89" s="77" t="str">
        <f>IFERROR(VLOOKUP(A89,Calculations!$A$121:$AS$141,22,FALSE),"")</f>
        <v/>
      </c>
      <c r="P89" s="77" t="str">
        <f>IFERROR(VLOOKUP(A89,Calculations!$A$121:$AS$141,23,FALSE),"")</f>
        <v/>
      </c>
      <c r="Q89" s="77" t="str">
        <f>IFERROR(VLOOKUP(A89,Calculations!$A$121:$AS$141,24,FALSE),"")</f>
        <v/>
      </c>
      <c r="R89" s="77" t="str">
        <f>IFERROR(VLOOKUP(A89,Calculations!$A$121:$AS$141,25,FALSE),"")</f>
        <v/>
      </c>
      <c r="S89" s="77" t="str">
        <f>IFERROR(VLOOKUP(A89,Calculations!$A$121:$AS$141,26,FALSE),"")</f>
        <v/>
      </c>
      <c r="T89" s="77" t="str">
        <f>IFERROR(VLOOKUP(A89,Calculations!$A$121:$AS$141,27,FALSE),"")</f>
        <v/>
      </c>
      <c r="U89" s="77" t="str">
        <f>IFERROR(VLOOKUP(A89,Calculations!$A$121:$AS$141,28,FALSE),"")</f>
        <v/>
      </c>
      <c r="V89" s="77" t="str">
        <f>IFERROR(VLOOKUP(A89,Calculations!$A$121:$AS$141,29,FALSE),"")</f>
        <v/>
      </c>
      <c r="W89" s="58" t="str">
        <f>IFERROR(VLOOKUP(A89,Calculations!$A$121:$AS$141,30,FALSE),"")</f>
        <v/>
      </c>
      <c r="X89" s="55" t="str">
        <f>IFERROR(VLOOKUP(A89,Calculations!$A$121:$AS$141,31,FALSE),"")</f>
        <v/>
      </c>
    </row>
    <row r="90" spans="2:24" ht="15" hidden="1" x14ac:dyDescent="0.3">
      <c r="B90" s="35" t="str">
        <f>IFERROR(VLOOKUP(A90,Calculations!$A$121:$AS$141,6,FALSE),"")</f>
        <v/>
      </c>
      <c r="C90" s="75" t="str">
        <f>IFERROR(VLOOKUP(A90,Calculations!$A$121:$AS$141,7,FALSE),"")</f>
        <v/>
      </c>
      <c r="D90" s="75" t="str">
        <f>IFERROR(VLOOKUP(A90,Calculations!$A$121:$AS$141,8,FALSE),"")</f>
        <v/>
      </c>
      <c r="E90" s="75" t="str">
        <f>IFERROR(VLOOKUP(A90,Calculations!$A$121:$AS$141,9,FALSE),"")</f>
        <v/>
      </c>
      <c r="F90" s="75" t="str">
        <f>IFERROR(VLOOKUP(A90,Calculations!$A$121:$AS$141,12,FALSE),"")</f>
        <v/>
      </c>
      <c r="G90" s="76" t="str">
        <f>IFERROR(VLOOKUP(A90,Calculations!$A$121:$AS$141,14,FALSE),"")</f>
        <v/>
      </c>
      <c r="H90" s="76" t="str">
        <f>IFERROR(VLOOKUP(A90,Calculations!$A$121:$AS$141,15,FALSE),"")</f>
        <v/>
      </c>
      <c r="I90" s="76" t="str">
        <f>IFERROR(VLOOKUP(A90,Calculations!$A$121:$AS$141,16,FALSE),"")</f>
        <v/>
      </c>
      <c r="J90" s="76" t="str">
        <f>IFERROR(VLOOKUP(A90,Calculations!$A$121:$AS$141,17,FALSE),"")</f>
        <v/>
      </c>
      <c r="K90" s="76" t="str">
        <f>IFERROR(VLOOKUP(A90,Calculations!$A$121:$AS$141,18,FALSE),"")</f>
        <v/>
      </c>
      <c r="L90" s="76" t="str">
        <f>IFERROR(VLOOKUP(A90,Calculations!$A$121:$AS$141,19,FALSE),"")</f>
        <v/>
      </c>
      <c r="M90" s="76" t="str">
        <f>IFERROR(VLOOKUP(A90,Calculations!$A$121:$AS$141,20,FALSE),"")</f>
        <v/>
      </c>
      <c r="N90" s="76" t="str">
        <f>IFERROR(VLOOKUP(A90,Calculations!$A$121:$AS$141,21,FALSE),"")</f>
        <v/>
      </c>
      <c r="O90" s="77" t="str">
        <f>IFERROR(VLOOKUP(A90,Calculations!$A$121:$AS$141,22,FALSE),"")</f>
        <v/>
      </c>
      <c r="P90" s="77" t="str">
        <f>IFERROR(VLOOKUP(A90,Calculations!$A$121:$AS$141,23,FALSE),"")</f>
        <v/>
      </c>
      <c r="Q90" s="77" t="str">
        <f>IFERROR(VLOOKUP(A90,Calculations!$A$121:$AS$141,24,FALSE),"")</f>
        <v/>
      </c>
      <c r="R90" s="77" t="str">
        <f>IFERROR(VLOOKUP(A90,Calculations!$A$121:$AS$141,25,FALSE),"")</f>
        <v/>
      </c>
      <c r="S90" s="77" t="str">
        <f>IFERROR(VLOOKUP(A90,Calculations!$A$121:$AS$141,26,FALSE),"")</f>
        <v/>
      </c>
      <c r="T90" s="77" t="str">
        <f>IFERROR(VLOOKUP(A90,Calculations!$A$121:$AS$141,27,FALSE),"")</f>
        <v/>
      </c>
      <c r="U90" s="77" t="str">
        <f>IFERROR(VLOOKUP(A90,Calculations!$A$121:$AS$141,28,FALSE),"")</f>
        <v/>
      </c>
      <c r="V90" s="77" t="str">
        <f>IFERROR(VLOOKUP(A90,Calculations!$A$121:$AS$141,29,FALSE),"")</f>
        <v/>
      </c>
      <c r="W90" s="58" t="str">
        <f>IFERROR(VLOOKUP(A90,Calculations!$A$121:$AS$141,30,FALSE),"")</f>
        <v/>
      </c>
      <c r="X90" s="55" t="str">
        <f>IFERROR(VLOOKUP(A90,Calculations!$A$121:$AS$141,31,FALSE),"")</f>
        <v/>
      </c>
    </row>
    <row r="91" spans="2:24" ht="15" hidden="1" x14ac:dyDescent="0.3">
      <c r="B91" s="35" t="str">
        <f>IFERROR(VLOOKUP(A91,Calculations!$A$121:$AS$141,6,FALSE),"")</f>
        <v/>
      </c>
      <c r="C91" s="75" t="str">
        <f>IFERROR(VLOOKUP(A91,Calculations!$A$121:$AS$141,7,FALSE),"")</f>
        <v/>
      </c>
      <c r="D91" s="75" t="str">
        <f>IFERROR(VLOOKUP(A91,Calculations!$A$121:$AS$141,8,FALSE),"")</f>
        <v/>
      </c>
      <c r="E91" s="75" t="str">
        <f>IFERROR(VLOOKUP(A91,Calculations!$A$121:$AS$141,9,FALSE),"")</f>
        <v/>
      </c>
      <c r="F91" s="75" t="str">
        <f>IFERROR(VLOOKUP(A91,Calculations!$A$121:$AS$141,12,FALSE),"")</f>
        <v/>
      </c>
      <c r="G91" s="76" t="str">
        <f>IFERROR(VLOOKUP(A91,Calculations!$A$121:$AS$141,14,FALSE),"")</f>
        <v/>
      </c>
      <c r="H91" s="76" t="str">
        <f>IFERROR(VLOOKUP(A91,Calculations!$A$121:$AS$141,15,FALSE),"")</f>
        <v/>
      </c>
      <c r="I91" s="76" t="str">
        <f>IFERROR(VLOOKUP(A91,Calculations!$A$121:$AS$141,16,FALSE),"")</f>
        <v/>
      </c>
      <c r="J91" s="76" t="str">
        <f>IFERROR(VLOOKUP(A91,Calculations!$A$121:$AS$141,17,FALSE),"")</f>
        <v/>
      </c>
      <c r="K91" s="76" t="str">
        <f>IFERROR(VLOOKUP(A91,Calculations!$A$121:$AS$141,18,FALSE),"")</f>
        <v/>
      </c>
      <c r="L91" s="76" t="str">
        <f>IFERROR(VLOOKUP(A91,Calculations!$A$121:$AS$141,19,FALSE),"")</f>
        <v/>
      </c>
      <c r="M91" s="76" t="str">
        <f>IFERROR(VLOOKUP(A91,Calculations!$A$121:$AS$141,20,FALSE),"")</f>
        <v/>
      </c>
      <c r="N91" s="76" t="str">
        <f>IFERROR(VLOOKUP(A91,Calculations!$A$121:$AS$141,21,FALSE),"")</f>
        <v/>
      </c>
      <c r="O91" s="77" t="str">
        <f>IFERROR(VLOOKUP(A91,Calculations!$A$121:$AS$141,22,FALSE),"")</f>
        <v/>
      </c>
      <c r="P91" s="77" t="str">
        <f>IFERROR(VLOOKUP(A91,Calculations!$A$121:$AS$141,23,FALSE),"")</f>
        <v/>
      </c>
      <c r="Q91" s="77" t="str">
        <f>IFERROR(VLOOKUP(A91,Calculations!$A$121:$AS$141,24,FALSE),"")</f>
        <v/>
      </c>
      <c r="R91" s="77" t="str">
        <f>IFERROR(VLOOKUP(A91,Calculations!$A$121:$AS$141,25,FALSE),"")</f>
        <v/>
      </c>
      <c r="S91" s="77" t="str">
        <f>IFERROR(VLOOKUP(A91,Calculations!$A$121:$AS$141,26,FALSE),"")</f>
        <v/>
      </c>
      <c r="T91" s="77" t="str">
        <f>IFERROR(VLOOKUP(A91,Calculations!$A$121:$AS$141,27,FALSE),"")</f>
        <v/>
      </c>
      <c r="U91" s="77" t="str">
        <f>IFERROR(VLOOKUP(A91,Calculations!$A$121:$AS$141,28,FALSE),"")</f>
        <v/>
      </c>
      <c r="V91" s="77" t="str">
        <f>IFERROR(VLOOKUP(A91,Calculations!$A$121:$AS$141,29,FALSE),"")</f>
        <v/>
      </c>
      <c r="W91" s="58" t="str">
        <f>IFERROR(VLOOKUP(A91,Calculations!$A$121:$AS$141,30,FALSE),"")</f>
        <v/>
      </c>
      <c r="X91" s="55" t="str">
        <f>IFERROR(VLOOKUP(A91,Calculations!$A$121:$AS$141,31,FALSE),"")</f>
        <v/>
      </c>
    </row>
    <row r="92" spans="2:24" ht="8.4" customHeight="1" x14ac:dyDescent="0.3">
      <c r="E92" t="s">
        <v>214</v>
      </c>
    </row>
  </sheetData>
  <pageMargins left="0.25" right="0.25" top="0.75" bottom="0.75" header="0.3" footer="0.3"/>
  <pageSetup paperSize="9" scale="56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H142"/>
  <sheetViews>
    <sheetView topLeftCell="H1" workbookViewId="0">
      <pane ySplit="5" topLeftCell="A6" activePane="bottomLeft" state="frozen"/>
      <selection activeCell="K53" sqref="K53:L54"/>
      <selection pane="bottomLeft" activeCell="K53" sqref="K53:L54"/>
    </sheetView>
  </sheetViews>
  <sheetFormatPr defaultColWidth="0" defaultRowHeight="14.4" x14ac:dyDescent="0.3"/>
  <cols>
    <col min="1" max="1" width="5.6640625" customWidth="1"/>
    <col min="2" max="2" width="6.33203125" customWidth="1"/>
    <col min="3" max="3" width="5.88671875" customWidth="1"/>
    <col min="4" max="4" width="6.6640625" customWidth="1"/>
    <col min="5" max="5" width="6.33203125" customWidth="1"/>
    <col min="6" max="6" width="20.77734375" customWidth="1"/>
    <col min="7" max="7" width="7.6640625" style="39" customWidth="1"/>
    <col min="8" max="8" width="6.6640625" style="39" customWidth="1"/>
    <col min="9" max="9" width="8" style="39" customWidth="1"/>
    <col min="10" max="10" width="7.44140625" style="39" customWidth="1"/>
    <col min="11" max="11" width="7.88671875" style="39" customWidth="1"/>
    <col min="12" max="12" width="14.33203125" style="39" customWidth="1"/>
    <col min="13" max="13" width="18.109375" style="39" customWidth="1"/>
    <col min="14" max="19" width="6.5546875" style="39" customWidth="1"/>
    <col min="20" max="21" width="6.5546875" style="39" hidden="1" customWidth="1"/>
    <col min="22" max="22" width="8.109375" style="39" customWidth="1"/>
    <col min="23" max="23" width="8" style="39" customWidth="1"/>
    <col min="24" max="24" width="8.109375" style="39" customWidth="1"/>
    <col min="25" max="25" width="8.33203125" style="39" customWidth="1"/>
    <col min="26" max="27" width="9.109375" style="39" customWidth="1"/>
    <col min="28" max="29" width="9.109375" style="39" hidden="1" customWidth="1"/>
    <col min="30" max="33" width="9.109375" style="39" customWidth="1"/>
    <col min="34" max="37" width="9.109375" customWidth="1"/>
    <col min="38" max="38" width="9.109375" style="36" customWidth="1"/>
    <col min="39" max="49" width="9.109375" customWidth="1"/>
    <col min="50" max="53" width="9.109375" hidden="1" customWidth="1"/>
    <col min="54" max="54" width="9.109375" style="40" hidden="1" customWidth="1"/>
    <col min="55" max="56" width="9.109375" hidden="1" customWidth="1"/>
    <col min="57" max="60" width="0" hidden="1" customWidth="1"/>
    <col min="61" max="16384" width="9.109375" hidden="1"/>
  </cols>
  <sheetData>
    <row r="1" spans="1:54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s="39">
        <v>32</v>
      </c>
      <c r="AI1" s="39"/>
      <c r="AJ1" s="39"/>
      <c r="AK1" s="39"/>
      <c r="AL1" s="39"/>
      <c r="AM1" s="39"/>
      <c r="AN1" s="39"/>
      <c r="AO1" s="39"/>
      <c r="AP1" s="39"/>
      <c r="BA1" s="40"/>
      <c r="BB1"/>
    </row>
    <row r="4" spans="1:54" ht="15" thickBot="1" x14ac:dyDescent="0.35">
      <c r="B4" t="s">
        <v>176</v>
      </c>
      <c r="M4" s="39" t="s">
        <v>177</v>
      </c>
      <c r="N4" s="39">
        <f t="shared" ref="N4:U4" si="0">MAX(N6:N141)</f>
        <v>37</v>
      </c>
      <c r="O4" s="39">
        <f t="shared" si="0"/>
        <v>31</v>
      </c>
      <c r="P4" s="39">
        <f t="shared" si="0"/>
        <v>37</v>
      </c>
      <c r="Q4" s="39">
        <f t="shared" si="0"/>
        <v>36</v>
      </c>
      <c r="R4" s="39">
        <f t="shared" si="0"/>
        <v>38</v>
      </c>
      <c r="S4" s="39">
        <f t="shared" si="0"/>
        <v>37</v>
      </c>
      <c r="T4" s="39">
        <f t="shared" si="0"/>
        <v>0</v>
      </c>
      <c r="U4" s="39">
        <f t="shared" si="0"/>
        <v>0</v>
      </c>
      <c r="AD4" s="39">
        <f>MAX(AD6:AD141)</f>
        <v>6</v>
      </c>
    </row>
    <row r="5" spans="1:54" s="41" customFormat="1" ht="29.4" thickBot="1" x14ac:dyDescent="0.35">
      <c r="A5" s="41" t="s">
        <v>29</v>
      </c>
      <c r="B5" s="41" t="s">
        <v>162</v>
      </c>
      <c r="C5" s="41" t="s">
        <v>163</v>
      </c>
      <c r="D5" s="41" t="s">
        <v>169</v>
      </c>
      <c r="E5" s="41" t="s">
        <v>171</v>
      </c>
      <c r="F5" s="42" t="s">
        <v>0</v>
      </c>
      <c r="G5" s="43" t="s">
        <v>1</v>
      </c>
      <c r="H5" s="43" t="s">
        <v>2</v>
      </c>
      <c r="I5" s="43" t="s">
        <v>164</v>
      </c>
      <c r="J5" s="43" t="s">
        <v>165</v>
      </c>
      <c r="K5" s="43" t="s">
        <v>3</v>
      </c>
      <c r="L5" s="43" t="s">
        <v>4</v>
      </c>
      <c r="M5" s="44" t="s">
        <v>5</v>
      </c>
      <c r="N5" s="45" t="s">
        <v>150</v>
      </c>
      <c r="O5" s="46" t="s">
        <v>151</v>
      </c>
      <c r="P5" s="46" t="s">
        <v>152</v>
      </c>
      <c r="Q5" s="46" t="s">
        <v>153</v>
      </c>
      <c r="R5" s="46" t="s">
        <v>154</v>
      </c>
      <c r="S5" s="46" t="s">
        <v>155</v>
      </c>
      <c r="T5" s="46" t="s">
        <v>156</v>
      </c>
      <c r="U5" s="46" t="s">
        <v>157</v>
      </c>
      <c r="V5" s="47" t="s">
        <v>150</v>
      </c>
      <c r="W5" s="48" t="s">
        <v>151</v>
      </c>
      <c r="X5" s="48" t="s">
        <v>152</v>
      </c>
      <c r="Y5" s="48" t="s">
        <v>153</v>
      </c>
      <c r="Z5" s="48" t="s">
        <v>154</v>
      </c>
      <c r="AA5" s="48" t="s">
        <v>155</v>
      </c>
      <c r="AB5" s="48" t="s">
        <v>156</v>
      </c>
      <c r="AC5" s="49" t="s">
        <v>157</v>
      </c>
      <c r="AD5" s="131" t="s">
        <v>166</v>
      </c>
      <c r="AE5" s="132" t="s">
        <v>167</v>
      </c>
      <c r="AF5" s="132" t="s">
        <v>168</v>
      </c>
      <c r="AG5" s="133" t="s">
        <v>169</v>
      </c>
      <c r="AH5" s="41" t="s">
        <v>210</v>
      </c>
      <c r="AI5" s="41" t="s">
        <v>211</v>
      </c>
      <c r="AL5" s="41" t="s">
        <v>212</v>
      </c>
      <c r="AM5" s="41">
        <f>MAX(AM6:AM120)</f>
        <v>28</v>
      </c>
      <c r="AN5" s="41">
        <f t="shared" ref="AN5:AP5" si="1">MAX(AN6:AN120)</f>
        <v>34</v>
      </c>
      <c r="AO5" s="41">
        <f t="shared" si="1"/>
        <v>37</v>
      </c>
      <c r="AP5" s="41">
        <f t="shared" si="1"/>
        <v>47</v>
      </c>
      <c r="AR5" s="41">
        <f>Lookups!$I$5</f>
        <v>4</v>
      </c>
      <c r="AS5" s="41">
        <f>Lookups!$I$5-1</f>
        <v>3</v>
      </c>
      <c r="AT5" s="41">
        <f>Lookups!$I$5-2</f>
        <v>2</v>
      </c>
      <c r="AU5" s="41">
        <f>Lookups!$I$5-3</f>
        <v>1</v>
      </c>
      <c r="AV5" s="41">
        <f>Lookups!$I$5-4</f>
        <v>0</v>
      </c>
      <c r="BB5" s="50"/>
    </row>
    <row r="6" spans="1:54" ht="16.5" customHeight="1" x14ac:dyDescent="0.3">
      <c r="A6" t="str">
        <f>IF(AD6="","",COUNTIFS($H$6:$H$120,H6,$AF$6:$AF$120,"&gt;"&amp;AF6)+COUNTIFS(H6:$H$120,H6,AF6:$AF$120,AF6))</f>
        <v/>
      </c>
      <c r="B6" t="str">
        <f>IF(AD6=0,"",IF(COUNTIFS($AE$6:$AE$177,"&gt;"&amp;AE6)+COUNTIFS(AE$6:AE6,"="&amp;AE6)=0,"",COUNTIFS($AE$6:$AE$177,"&gt;"&amp;AE6)+COUNTIFS(AE$6:AE6,"="&amp;AE6)))</f>
        <v/>
      </c>
      <c r="C6" t="str">
        <f>AL6</f>
        <v/>
      </c>
      <c r="D6" t="str">
        <f>IF(AG6=0,"",IF(COUNTIFS($AG$6:$AG$177,"&gt;"&amp;AG6)+COUNTIFS(AG$6:AG6,"="&amp;AG6)=0,"",COUNTIFS($AG$6:$AG$177,"&gt;"&amp;AG6)+COUNTIFS(AG$6:AG6,"="&amp;AG6)))</f>
        <v/>
      </c>
      <c r="F6" s="51" t="s">
        <v>86</v>
      </c>
      <c r="G6" s="103">
        <f>IFERROR(IF(VLOOKUP(F6,Lookups!$A$2:$F$111,2,FALSE)="","",VLOOKUP(F6,Lookups!$A$2:$F$111,2,FALSE)),"")</f>
        <v>46</v>
      </c>
      <c r="H6" s="103" t="str">
        <f>IFERROR(IF(VLOOKUP(F6,Lookups!$A$2:$F$111,3,FALSE)="","",VLOOKUP(F6,Lookups!$A$2:$F$111,3,FALSE)),"")</f>
        <v>AA</v>
      </c>
      <c r="I6" s="103" t="str">
        <f>IFERROR(IF(AF6=0,"",VLOOKUP(AF6,Lookups!$K$2:$L$6,2,TRUE)),"")</f>
        <v/>
      </c>
      <c r="J6" s="103" t="str">
        <f>IF(AD6&lt;Lookups!$I$5,"Y","N")</f>
        <v>N</v>
      </c>
      <c r="K6" s="103" t="str">
        <f>IFERROR(IF(VLOOKUP(F6,Lookups!$A$2:$F$111,4,FALSE)="","",VLOOKUP(F6,Lookups!$A$2:$F$111,4,FALSE)),"")</f>
        <v>PCP</v>
      </c>
      <c r="L6" s="103" t="str">
        <f>IFERROR(IF(VLOOKUP(F6,Lookups!$A$2:$F$111,5,FALSE)="","",VLOOKUP(F6,Lookups!$A$2:$F$111,5,FALSE)),"")</f>
        <v>Buccaneers</v>
      </c>
      <c r="M6" s="104" t="str">
        <f>IFERROR(IF(VLOOKUP(F6,Lookups!$A$2:$F$111,6,FALSE)="","",VLOOKUP(F6,Lookups!$A$2:$F$111,6,FALSE)),"")</f>
        <v/>
      </c>
      <c r="N6" s="82" t="str">
        <f>IFERROR(IF(VLOOKUP(F6,Scores!$A$1:$I$99,2,FALSE)="","",VLOOKUP(F6,Scores!$A$1:$I$99,2,FALSE)),"")</f>
        <v/>
      </c>
      <c r="O6" s="83" t="str">
        <f>IFERROR(IF(VLOOKUP(F6,Scores!$A$1:$I$99,3,FALSE)="","",VLOOKUP(F6,Scores!$A$1:$I$99,3,FALSE)),"")</f>
        <v/>
      </c>
      <c r="P6" s="83" t="str">
        <f>IFERROR(IF(VLOOKUP(F6,Scores!$A$1:$I$99,4,FALSE)="","",VLOOKUP(F6,Scores!$A$1:$I$99,4,FALSE)),"")</f>
        <v/>
      </c>
      <c r="Q6" s="83" t="str">
        <f>IFERROR(IF(VLOOKUP(F6,Scores!$A$1:$I$99,5,FALSE)="","",VLOOKUP(F6,Scores!$A$1:$I$99,5,FALSE)),"")</f>
        <v/>
      </c>
      <c r="R6" s="83" t="str">
        <f>IFERROR(IF(VLOOKUP(F6,Scores!$A$1:$I$99,6,FALSE)="","",VLOOKUP(F6,Scores!$A$1:$I$99,6,FALSE)),"")</f>
        <v/>
      </c>
      <c r="S6" s="83" t="str">
        <f>IFERROR(IF(VLOOKUP(F6,Scores!$A$1:$I$99,7,FALSE)="","",VLOOKUP(F6,Scores!$A$1:$I$99,7,FALSE)),"")</f>
        <v/>
      </c>
      <c r="T6" s="83" t="str">
        <f>IFERROR(IF(VLOOKUP(F6,Scores!$A$1:$I$99,8,FALSE)="","",VLOOKUP(F6,Scores!$A$1:$I$99,8,FALSE)),"")</f>
        <v/>
      </c>
      <c r="U6" s="84" t="str">
        <f>IFERROR(IF(VLOOKUP(F6,Scores!$A$1:$I$99,9,FALSE)="","",VLOOKUP(F6,Scores!$A$1:$I$99,9,FALSE)),"")</f>
        <v/>
      </c>
      <c r="V6" s="54" t="str">
        <f t="shared" ref="V6:V7" si="2">IFERROR(IF(F6="","",N6/$N$4),"")</f>
        <v/>
      </c>
      <c r="W6" s="55" t="str">
        <f t="shared" ref="W6:W7" si="3">IFERROR(IF(F6="","",O6/$O$4),"")</f>
        <v/>
      </c>
      <c r="X6" s="55" t="str">
        <f t="shared" ref="X6:X7" si="4">IFERROR(IF(F6="","",P6/$P$4),"")</f>
        <v/>
      </c>
      <c r="Y6" s="55" t="str">
        <f t="shared" ref="Y6:Y7" si="5">IFERROR(IF(F6="","",Q6/$Q$4),"")</f>
        <v/>
      </c>
      <c r="Z6" s="55" t="str">
        <f t="shared" ref="Z6:Z7" si="6">IFERROR(IF(F6="","",R6/$R$4),"")</f>
        <v/>
      </c>
      <c r="AA6" s="55" t="str">
        <f t="shared" ref="AA6:AA7" si="7">IFERROR(IF(F6="","",S6/$S$4),"")</f>
        <v/>
      </c>
      <c r="AB6" s="55" t="str">
        <f t="shared" ref="AB6:AB7" si="8">IFERROR(IF(F6="","",T6/$T$4),"")</f>
        <v/>
      </c>
      <c r="AC6" s="56" t="str">
        <f t="shared" ref="AC6:AC7" si="9">IFERROR(IF(F6="","",U6/$U$4),"")</f>
        <v/>
      </c>
      <c r="AD6" s="79" t="str">
        <f>IF(COUNT(N6:U6)=0,"",COUNT(N6:U6))</f>
        <v/>
      </c>
      <c r="AE6" s="59" t="str">
        <f>IFERROR(AVERAGE(V6:AC6),"")</f>
        <v/>
      </c>
      <c r="AF6" s="59" t="str" cm="1">
        <f t="array" ref="AF6">IFERROR(IF(AD6&gt;Lookups!$I$5-1,AVERAGE(LARGE(V6:AC6,_xlfn.SEQUENCE(Lookups!$I$5))),AVERAGE(LARGE(V6:AC6,_xlfn.SEQUENCE(AD6)))),"")</f>
        <v/>
      </c>
      <c r="AG6" s="124" t="str">
        <f>IF(SUM(N6:U6)=0,"",SUM(N6:U6))</f>
        <v/>
      </c>
      <c r="AH6" s="78" t="str">
        <f>IF(AD6=Lookups!$I$5+1,LARGE(V6:AC6,5),"")</f>
        <v/>
      </c>
      <c r="AI6" s="78" t="str">
        <f>IF(AD6=Lookups!$I$5+2,LARGE(V6:AC6,6),"")</f>
        <v/>
      </c>
      <c r="AJ6" s="78"/>
      <c r="AK6" s="78"/>
      <c r="AL6" s="140" t="str">
        <f>IF(SUM(AM6:AP6)=0,"",SUM(AM6:AP6))</f>
        <v/>
      </c>
      <c r="AM6" s="134" t="str">
        <f>IF(OR(AD6=0,AD6=""),"",IF(COUNTIFS($AR$6:$AR$177,"&gt;"&amp;AR6)+COUNTIFS(AR$6:AR6,"="&amp;AR6)=0,"",COUNTIFS($AR$6:$AR$177,"&gt;"&amp;AR6)+COUNTIFS(AR$6:AR6,"="&amp;AR6)))</f>
        <v/>
      </c>
      <c r="AN6" s="134" t="str">
        <f>IFERROR(IF(OR(AD6=0,AD6=""),"",IF(COUNTIFS($AS$6:$AS$177,"&gt;"&amp;AS6)+COUNTIFS(AS$6:AS6,"="&amp;AS6)=0,"",COUNTIFS($AS$6:$AS$177,"&gt;"&amp;AS6)+COUNTIFS(AS$6:AS6,"="&amp;AS6)+$AM$5)),"")</f>
        <v/>
      </c>
      <c r="AO6" s="134" t="str">
        <f>IFERROR(IF(OR(AD6=0,AD6=""),"",IF(COUNTIFS($AT$6:$AT$177,"&gt;"&amp;AT6)+COUNTIFS(AT$6:AT6,"="&amp;AT6)=0,"",COUNTIFS($AT$6:$AT$177,"&gt;"&amp;AT6)+COUNTIFS(AT$6:AT6,"="&amp;AT6)+$AN$5)),"")</f>
        <v/>
      </c>
      <c r="AP6" s="134" t="str">
        <f>IFERROR(IF(OR(AD6=0,AD6=""),"",IF(COUNTIFS($AU$6:$AU$177,"&gt;"&amp;AU6)+COUNTIFS(AU$6:AU6,"="&amp;AU6)=0,"",COUNTIFS($AU$6:$AU$177,"&gt;"&amp;AU6)+COUNTIFS(AU$6:AU6,"="&amp;AU6)+$AO$5)),"")</f>
        <v/>
      </c>
      <c r="AQ6" s="134" t="str">
        <f>IFERROR(IF(OR(AD6=0,AD6=""),"",IF(COUNTIFS($AV$6:$AV$177,"&gt;"&amp;AV6)+COUNTIFS(AV$6:AV6,"="&amp;AV6)=0,"",COUNTIFS($AV$6:$AV$177,"&gt;"&amp;AV6)+COUNTIFS(AV$6:AV6,"="&amp;AV6)+$AP$5)),"")</f>
        <v/>
      </c>
      <c r="AR6" s="78" t="str">
        <f>IF(AD6&gt;=$AR$5,AF6,"")</f>
        <v/>
      </c>
      <c r="AS6" s="78" t="str">
        <f>IF(AD6=$AS$5,AF6,"")</f>
        <v/>
      </c>
      <c r="AT6" s="78" t="str">
        <f>IF(AD6=$AT$5,AF6,"")</f>
        <v/>
      </c>
      <c r="AU6" s="78" t="str">
        <f>IF(AD6=$AU$5,AF6,"")</f>
        <v/>
      </c>
      <c r="AV6" s="78" t="str">
        <f>IF(AD6=$AV$5,AF6,"")</f>
        <v/>
      </c>
    </row>
    <row r="7" spans="1:54" ht="16.5" customHeight="1" x14ac:dyDescent="0.3">
      <c r="A7">
        <f>IF(AD7="","",COUNTIFS($H$6:$H$120,H7,$AF$6:$AF$120,"&gt;"&amp;AF7)+COUNTIFS(H7:$H$120,H7,AF7:$AF$120,AF7))</f>
        <v>10</v>
      </c>
      <c r="B7">
        <f>IF(AD7=0,"",IF(COUNTIFS($AE$6:$AE$177,"&gt;"&amp;AE7)+COUNTIFS(AE$6:AE7,"="&amp;AE7)=0,"",COUNTIFS($AE$6:$AE$177,"&gt;"&amp;AE7)+COUNTIFS(AE$6:AE7,"="&amp;AE7)))</f>
        <v>13</v>
      </c>
      <c r="C7">
        <f t="shared" ref="C7:C70" si="10">AL7</f>
        <v>9</v>
      </c>
      <c r="D7">
        <f>IF(AG7=0,"",IF(COUNTIFS($AG$6:$AG$177,"&gt;"&amp;AG7)+COUNTIFS(AG$6:AG7,"="&amp;AG7)=0,"",COUNTIFS($AG$6:$AG$177,"&gt;"&amp;AG7)+COUNTIFS(AG$6:AG7,"="&amp;AG7)))</f>
        <v>22</v>
      </c>
      <c r="F7" s="19" t="s">
        <v>36</v>
      </c>
      <c r="G7" s="103">
        <f>IFERROR(IF(VLOOKUP(F7,Lookups!$A$2:$F$111,2,FALSE)="","",VLOOKUP(F7,Lookups!$A$2:$F$111,2,FALSE)),"")</f>
        <v>94</v>
      </c>
      <c r="H7" s="103" t="str">
        <f>IFERROR(IF(VLOOKUP(F7,Lookups!$A$2:$F$111,3,FALSE)="","",VLOOKUP(F7,Lookups!$A$2:$F$111,3,FALSE)),"")</f>
        <v>AA</v>
      </c>
      <c r="I7" s="103" t="str">
        <f>IFERROR(IF(AF7=0,"",VLOOKUP(AF7,Lookups!$K$2:$L$6,2,TRUE)),"")</f>
        <v>AA</v>
      </c>
      <c r="J7" s="103" t="str">
        <f>IF(AD7&lt;Lookups!$I$5,"Y","N")</f>
        <v>N</v>
      </c>
      <c r="K7" s="103" t="str">
        <f>IFERROR(IF(VLOOKUP(F7,Lookups!$A$2:$F$111,4,FALSE)="","",VLOOKUP(F7,Lookups!$A$2:$F$111,4,FALSE)),"")</f>
        <v>PCP</v>
      </c>
      <c r="L7" s="103" t="str">
        <f>IFERROR(IF(VLOOKUP(F7,Lookups!$A$2:$F$111,5,FALSE)="","",VLOOKUP(F7,Lookups!$A$2:$F$111,5,FALSE)),"")</f>
        <v>Carisbrooke</v>
      </c>
      <c r="M7" s="104" t="str">
        <f>IFERROR(IF(VLOOKUP(F7,Lookups!$A$2:$F$111,6,FALSE)="","",VLOOKUP(F7,Lookups!$A$2:$F$111,6,FALSE)),"")</f>
        <v>Carisbrooke TRex's</v>
      </c>
      <c r="N7" s="57">
        <f>IFERROR(IF(VLOOKUP(F7,Scores!$A$1:$I$99,2,FALSE)="","",VLOOKUP(F7,Scores!$A$1:$I$99,2,FALSE)),"")</f>
        <v>32</v>
      </c>
      <c r="O7" s="58">
        <f>IFERROR(IF(VLOOKUP(F7,Scores!$A$1:$I$99,3,FALSE)="","",VLOOKUP(F7,Scores!$A$1:$I$99,3,FALSE)),"")</f>
        <v>27</v>
      </c>
      <c r="P7" s="58" t="str">
        <f>IFERROR(IF(VLOOKUP(F7,Scores!$A$1:$I$99,4,FALSE)="","",VLOOKUP(F7,Scores!$A$1:$I$99,4,FALSE)),"")</f>
        <v/>
      </c>
      <c r="Q7" s="58" t="str">
        <f>IFERROR(IF(VLOOKUP(F7,Scores!$A$1:$I$99,5,FALSE)="","",VLOOKUP(F7,Scores!$A$1:$I$99,5,FALSE)),"")</f>
        <v/>
      </c>
      <c r="R7" s="58">
        <f>IFERROR(IF(VLOOKUP(F7,Scores!$A$1:$I$99,6,FALSE)="","",VLOOKUP(F7,Scores!$A$1:$I$99,6,FALSE)),"")</f>
        <v>32</v>
      </c>
      <c r="S7" s="58">
        <f>IFERROR(IF(VLOOKUP(F7,Scores!$A$1:$I$99,7,FALSE)="","",VLOOKUP(F7,Scores!$A$1:$I$99,7,FALSE)),"")</f>
        <v>35</v>
      </c>
      <c r="T7" s="58" t="str">
        <f>IFERROR(IF(VLOOKUP(F7,Scores!$A$1:$I$99,8,FALSE)="","",VLOOKUP(F7,Scores!$A$1:$I$99,8,FALSE)),"")</f>
        <v/>
      </c>
      <c r="U7" s="60" t="str">
        <f>IFERROR(IF(VLOOKUP(F7,Scores!$A$1:$I$99,9,FALSE)="","",VLOOKUP(F7,Scores!$A$1:$I$99,9,FALSE)),"")</f>
        <v/>
      </c>
      <c r="V7" s="54">
        <f t="shared" si="2"/>
        <v>0.86486486486486491</v>
      </c>
      <c r="W7" s="55">
        <f t="shared" si="3"/>
        <v>0.87096774193548387</v>
      </c>
      <c r="X7" s="55" t="str">
        <f t="shared" si="4"/>
        <v/>
      </c>
      <c r="Y7" s="55" t="str">
        <f t="shared" si="5"/>
        <v/>
      </c>
      <c r="Z7" s="55">
        <f t="shared" si="6"/>
        <v>0.84210526315789469</v>
      </c>
      <c r="AA7" s="55">
        <f t="shared" si="7"/>
        <v>0.94594594594594594</v>
      </c>
      <c r="AB7" s="55" t="str">
        <f t="shared" si="8"/>
        <v/>
      </c>
      <c r="AC7" s="56" t="str">
        <f t="shared" si="9"/>
        <v/>
      </c>
      <c r="AD7" s="79">
        <f>IF(COUNT(N7:U7)=0,"",COUNT(N7:U7))</f>
        <v>4</v>
      </c>
      <c r="AE7" s="59">
        <f>IFERROR(AVERAGE(V7:AC7),"")</f>
        <v>0.88097095397604741</v>
      </c>
      <c r="AF7" s="55" cm="1">
        <f t="array" ref="AF7">IFERROR(IF(AD7&gt;Lookups!$I$5-1,AVERAGE(LARGE(V7:AC7,_xlfn.SEQUENCE(Lookups!$I$5))),AVERAGE(LARGE(V7:AC7,_xlfn.SEQUENCE(AD7)))),"")</f>
        <v>0.8809709539760473</v>
      </c>
      <c r="AG7" s="124">
        <f>IF(SUM(N7:U7)=0,"",SUM(N7:U7))</f>
        <v>126</v>
      </c>
      <c r="AH7" s="78" t="str">
        <f>IF(AD7=Lookups!$I$5+1,LARGE(V7:AC7,5),"")</f>
        <v/>
      </c>
      <c r="AI7" s="78" t="str">
        <f>IF(AD7=Lookups!$I$5+2,LARGE(V7:AC7,6),"")</f>
        <v/>
      </c>
      <c r="AJ7" s="78"/>
      <c r="AK7" s="78"/>
      <c r="AL7" s="140">
        <f t="shared" ref="AL7:AL70" si="11">IF(SUM(AM7:AP7)=0,"",SUM(AM7:AP7))</f>
        <v>9</v>
      </c>
      <c r="AM7" s="134">
        <f>IF(OR(AD7=0,AD7=""),"",IF(COUNTIFS($AR$6:$AR$177,"&gt;"&amp;AR7)+COUNTIFS(AR$6:AR7,"="&amp;AR7)=0,"",COUNTIFS($AR$6:$AR$177,"&gt;"&amp;AR7)+COUNTIFS(AR$6:AR7,"="&amp;AR7)))</f>
        <v>9</v>
      </c>
      <c r="AN7" s="134" t="str">
        <f>IFERROR(IF(OR(AD7=0,AD7=""),"",IF(COUNTIFS($AS$6:$AS$177,"&gt;"&amp;AS7)+COUNTIFS(AS$6:AS7,"="&amp;AS7)=0,"",COUNTIFS($AS$6:$AS$177,"&gt;"&amp;AS7)+COUNTIFS(AS$6:AS7,"="&amp;AS7)+$AM$5)),"")</f>
        <v/>
      </c>
      <c r="AO7" s="134" t="str">
        <f>IFERROR(IF(OR(AD7=0,AD7=""),"",IF(COUNTIFS($AT$6:$AT$177,"&gt;"&amp;AT7)+COUNTIFS(AT$6:AT7,"="&amp;AT7)=0,"",COUNTIFS($AT$6:$AT$177,"&gt;"&amp;AT7)+COUNTIFS(AT$6:AT7,"="&amp;AT7)+$AN$5)),"")</f>
        <v/>
      </c>
      <c r="AP7" s="134" t="str">
        <f>IFERROR(IF(OR(AD7=0,AD7=""),"",IF(COUNTIFS($AU$6:$AU$177,"&gt;"&amp;AU7)+COUNTIFS(AU$6:AU7,"="&amp;AU7)=0,"",COUNTIFS($AU$6:$AU$177,"&gt;"&amp;AU7)+COUNTIFS(AU$6:AU7,"="&amp;AU7)+$AO$5)),"")</f>
        <v/>
      </c>
      <c r="AQ7" s="134" t="str">
        <f>IFERROR(IF(OR(AD7=0,AD7=""),"",IF(COUNTIFS($AV$6:$AV$177,"&gt;"&amp;AV7)+COUNTIFS(AV$6:AV7,"="&amp;AV7)=0,"",COUNTIFS($AV$6:$AV$177,"&gt;"&amp;AV7)+COUNTIFS(AV$6:AV7,"="&amp;AV7)+$AP$5)),"")</f>
        <v/>
      </c>
      <c r="AR7" s="78">
        <f t="shared" ref="AR7:AR70" si="12">IF(AD7&gt;=$AR$5,AF7,"")</f>
        <v>0.8809709539760473</v>
      </c>
      <c r="AS7" s="78" t="str">
        <f t="shared" ref="AS7:AS70" si="13">IF(AD7=$AS$5,AF7,"")</f>
        <v/>
      </c>
      <c r="AT7" s="78" t="str">
        <f t="shared" ref="AT7:AT70" si="14">IF(AD7=$AT$5,AF7,"")</f>
        <v/>
      </c>
      <c r="AU7" s="78" t="str">
        <f t="shared" ref="AU7:AU70" si="15">IF(AD7=$AU$5,AF7,"")</f>
        <v/>
      </c>
      <c r="AV7" s="78" t="str">
        <f t="shared" ref="AV7:AV70" si="16">IF(AD7=$AV$5,AF7,"")</f>
        <v/>
      </c>
    </row>
    <row r="8" spans="1:54" ht="16.5" customHeight="1" x14ac:dyDescent="0.3">
      <c r="A8" t="str">
        <f>IF(AD8="","",COUNTIFS($H$6:$H$120,H8,$AF$6:$AF$120,"&gt;"&amp;AF8)+COUNTIFS(H8:$H$120,H8,AF8:$AF$120,AF8))</f>
        <v/>
      </c>
      <c r="B8" t="str">
        <f>IF(AD8=0,"",IF(COUNTIFS($AE$6:$AE$177,"&gt;"&amp;AE8)+COUNTIFS(AE$6:AE8,"="&amp;AE8)=0,"",COUNTIFS($AE$6:$AE$177,"&gt;"&amp;AE8)+COUNTIFS(AE$6:AE8,"="&amp;AE8)))</f>
        <v/>
      </c>
      <c r="C8" t="str">
        <f t="shared" si="10"/>
        <v/>
      </c>
      <c r="D8" t="str">
        <f>IF(AG8=0,"",IF(COUNTIFS($AG$6:$AG$177,"&gt;"&amp;AG8)+COUNTIFS(AG$6:AG8,"="&amp;AG8)=0,"",COUNTIFS($AG$6:$AG$177,"&gt;"&amp;AG8)+COUNTIFS(AG$6:AG8,"="&amp;AG8)))</f>
        <v/>
      </c>
      <c r="F8" s="17" t="s">
        <v>85</v>
      </c>
      <c r="G8" s="103">
        <f>IFERROR(IF(VLOOKUP(F8,Lookups!$A$2:$F$111,2,FALSE)="","",VLOOKUP(F8,Lookups!$A$2:$F$111,2,FALSE)),"")</f>
        <v>612</v>
      </c>
      <c r="H8" s="103" t="str">
        <f>IFERROR(IF(VLOOKUP(F8,Lookups!$A$2:$F$111,3,FALSE)="","",VLOOKUP(F8,Lookups!$A$2:$F$111,3,FALSE)),"")</f>
        <v>AA</v>
      </c>
      <c r="I8" s="103" t="str">
        <f>IFERROR(IF(AF8=0,"",VLOOKUP(AF8,Lookups!$K$2:$L$6,2,TRUE)),"")</f>
        <v/>
      </c>
      <c r="J8" s="103" t="str">
        <f>IF(AD8&lt;Lookups!$I$5,"Y","N")</f>
        <v>N</v>
      </c>
      <c r="K8" s="103" t="str">
        <f>IFERROR(IF(VLOOKUP(F8,Lookups!$A$2:$F$111,4,FALSE)="","",VLOOKUP(F8,Lookups!$A$2:$F$111,4,FALSE)),"")</f>
        <v>PCP</v>
      </c>
      <c r="L8" s="103" t="str">
        <f>IFERROR(IF(VLOOKUP(F8,Lookups!$A$2:$F$111,5,FALSE)="","",VLOOKUP(F8,Lookups!$A$2:$F$111,5,FALSE)),"")</f>
        <v>Bisley</v>
      </c>
      <c r="M8" s="104" t="str">
        <f>IFERROR(IF(VLOOKUP(F8,Lookups!$A$2:$F$111,6,FALSE)="","",VLOOKUP(F8,Lookups!$A$2:$F$111,6,FALSE)),"")</f>
        <v/>
      </c>
      <c r="N8" s="57" t="str">
        <f>IFERROR(IF(VLOOKUP(F8,Scores!$A$1:$I$99,2,FALSE)="","",VLOOKUP(F8,Scores!$A$1:$I$99,2,FALSE)),"")</f>
        <v/>
      </c>
      <c r="O8" s="58" t="str">
        <f>IFERROR(IF(VLOOKUP(F8,Scores!$A$1:$I$99,3,FALSE)="","",VLOOKUP(F8,Scores!$A$1:$I$99,3,FALSE)),"")</f>
        <v/>
      </c>
      <c r="P8" s="58" t="str">
        <f>IFERROR(IF(VLOOKUP(F8,Scores!$A$1:$I$99,4,FALSE)="","",VLOOKUP(F8,Scores!$A$1:$I$99,4,FALSE)),"")</f>
        <v/>
      </c>
      <c r="Q8" s="58" t="str">
        <f>IFERROR(IF(VLOOKUP(F8,Scores!$A$1:$I$99,5,FALSE)="","",VLOOKUP(F8,Scores!$A$1:$I$99,5,FALSE)),"")</f>
        <v/>
      </c>
      <c r="R8" s="58" t="str">
        <f>IFERROR(IF(VLOOKUP(F8,Scores!$A$1:$I$99,6,FALSE)="","",VLOOKUP(F8,Scores!$A$1:$I$99,6,FALSE)),"")</f>
        <v/>
      </c>
      <c r="S8" s="58" t="str">
        <f>IFERROR(IF(VLOOKUP(F8,Scores!$A$1:$I$99,7,FALSE)="","",VLOOKUP(F8,Scores!$A$1:$I$99,7,FALSE)),"")</f>
        <v/>
      </c>
      <c r="T8" s="58" t="str">
        <f>IFERROR(IF(VLOOKUP(F8,Scores!$A$1:$I$99,8,FALSE)="","",VLOOKUP(F8,Scores!$A$1:$I$99,8,FALSE)),"")</f>
        <v/>
      </c>
      <c r="U8" s="60" t="str">
        <f>IFERROR(IF(VLOOKUP(F8,Scores!$A$1:$I$99,9,FALSE)="","",VLOOKUP(F8,Scores!$A$1:$I$99,9,FALSE)),"")</f>
        <v/>
      </c>
      <c r="V8" s="54" t="str">
        <f t="shared" ref="V8:V71" si="17">IFERROR(IF(F8="","",N8/$N$4),"")</f>
        <v/>
      </c>
      <c r="W8" s="55" t="str">
        <f t="shared" ref="W8:W71" si="18">IFERROR(IF(F8="","",O8/$O$4),"")</f>
        <v/>
      </c>
      <c r="X8" s="55" t="str">
        <f t="shared" ref="X8:X71" si="19">IFERROR(IF(F8="","",P8/$P$4),"")</f>
        <v/>
      </c>
      <c r="Y8" s="55" t="str">
        <f t="shared" ref="Y8:Y71" si="20">IFERROR(IF(F8="","",Q8/$Q$4),"")</f>
        <v/>
      </c>
      <c r="Z8" s="55" t="str">
        <f t="shared" ref="Z8:Z71" si="21">IFERROR(IF(F8="","",R8/$R$4),"")</f>
        <v/>
      </c>
      <c r="AA8" s="55" t="str">
        <f t="shared" ref="AA8:AA71" si="22">IFERROR(IF(F8="","",S8/$S$4),"")</f>
        <v/>
      </c>
      <c r="AB8" s="55" t="str">
        <f t="shared" ref="AB8:AB71" si="23">IFERROR(IF(F8="","",T8/$T$4),"")</f>
        <v/>
      </c>
      <c r="AC8" s="56" t="str">
        <f t="shared" ref="AC8:AC71" si="24">IFERROR(IF(F8="","",U8/$U$4),"")</f>
        <v/>
      </c>
      <c r="AD8" s="79" t="str">
        <f t="shared" ref="AD8:AD71" si="25">IF(COUNT(N8:U8)=0,"",COUNT(N8:U8))</f>
        <v/>
      </c>
      <c r="AE8" s="59" t="str">
        <f t="shared" ref="AE8:AE71" si="26">IFERROR(AVERAGE(V8:AC8),"")</f>
        <v/>
      </c>
      <c r="AF8" s="55" t="str" cm="1">
        <f t="array" ref="AF8">IFERROR(IF(AD8&gt;Lookups!$I$5-1,AVERAGE(LARGE(V8:AC8,_xlfn.SEQUENCE(Lookups!$I$5))),AVERAGE(LARGE(V8:AC8,_xlfn.SEQUENCE(AD8)))),"")</f>
        <v/>
      </c>
      <c r="AG8" s="124" t="str">
        <f t="shared" ref="AG8:AG71" si="27">IF(SUM(N8:U8)=0,"",SUM(N8:U8))</f>
        <v/>
      </c>
      <c r="AH8" s="78" t="str">
        <f>IF(AD8=Lookups!$I$5+1,LARGE(V8:AC8,5),"")</f>
        <v/>
      </c>
      <c r="AI8" s="78" t="str">
        <f>IF(AD8=Lookups!$I$5+2,LARGE(V8:AC8,6),"")</f>
        <v/>
      </c>
      <c r="AJ8" s="78"/>
      <c r="AK8" s="78"/>
      <c r="AL8" s="140" t="str">
        <f t="shared" si="11"/>
        <v/>
      </c>
      <c r="AM8" s="134" t="str">
        <f>IF(OR(AD8=0,AD8=""),"",IF(COUNTIFS($AR$6:$AR$177,"&gt;"&amp;AR8)+COUNTIFS(AR$6:AR8,"="&amp;AR8)=0,"",COUNTIFS($AR$6:$AR$177,"&gt;"&amp;AR8)+COUNTIFS(AR$6:AR8,"="&amp;AR8)))</f>
        <v/>
      </c>
      <c r="AN8" s="134" t="str">
        <f>IFERROR(IF(OR(AD8=0,AD8=""),"",IF(COUNTIFS($AS$6:$AS$177,"&gt;"&amp;AS8)+COUNTIFS(AS$6:AS8,"="&amp;AS8)=0,"",COUNTIFS($AS$6:$AS$177,"&gt;"&amp;AS8)+COUNTIFS(AS$6:AS8,"="&amp;AS8)+$AM$5)),"")</f>
        <v/>
      </c>
      <c r="AO8" s="134" t="str">
        <f>IFERROR(IF(OR(AD8=0,AD8=""),"",IF(COUNTIFS($AT$6:$AT$177,"&gt;"&amp;AT8)+COUNTIFS(AT$6:AT8,"="&amp;AT8)=0,"",COUNTIFS($AT$6:$AT$177,"&gt;"&amp;AT8)+COUNTIFS(AT$6:AT8,"="&amp;AT8)+$AN$5)),"")</f>
        <v/>
      </c>
      <c r="AP8" s="134" t="str">
        <f>IFERROR(IF(OR(AD8=0,AD8=""),"",IF(COUNTIFS($AU$6:$AU$177,"&gt;"&amp;AU8)+COUNTIFS(AU$6:AU8,"="&amp;AU8)=0,"",COUNTIFS($AU$6:$AU$177,"&gt;"&amp;AU8)+COUNTIFS(AU$6:AU8,"="&amp;AU8)+$AO$5)),"")</f>
        <v/>
      </c>
      <c r="AQ8" s="134" t="str">
        <f>IFERROR(IF(OR(AD8=0,AD8=""),"",IF(COUNTIFS($AV$6:$AV$177,"&gt;"&amp;AV8)+COUNTIFS(AV$6:AV8,"="&amp;AV8)=0,"",COUNTIFS($AV$6:$AV$177,"&gt;"&amp;AV8)+COUNTIFS(AV$6:AV8,"="&amp;AV8)+$AP$5)),"")</f>
        <v/>
      </c>
      <c r="AR8" s="78" t="str">
        <f t="shared" si="12"/>
        <v/>
      </c>
      <c r="AS8" s="78" t="str">
        <f t="shared" si="13"/>
        <v/>
      </c>
      <c r="AT8" s="78" t="str">
        <f t="shared" si="14"/>
        <v/>
      </c>
      <c r="AU8" s="78" t="str">
        <f t="shared" si="15"/>
        <v/>
      </c>
      <c r="AV8" s="78" t="str">
        <f t="shared" si="16"/>
        <v/>
      </c>
    </row>
    <row r="9" spans="1:54" ht="16.5" customHeight="1" x14ac:dyDescent="0.3">
      <c r="A9">
        <f>IF(AD9="","",COUNTIFS($H$6:$H$120,H9,$AF$6:$AF$120,"&gt;"&amp;AF9)+COUNTIFS(H9:$H$120,H9,AF9:$AF$120,AF9))</f>
        <v>6</v>
      </c>
      <c r="B9">
        <f>IF(AD9=0,"",IF(COUNTIFS($AE$6:$AE$177,"&gt;"&amp;AE9)+COUNTIFS(AE$6:AE9,"="&amp;AE9)=0,"",COUNTIFS($AE$6:$AE$177,"&gt;"&amp;AE9)+COUNTIFS(AE$6:AE9,"="&amp;AE9)))</f>
        <v>8</v>
      </c>
      <c r="C9">
        <f t="shared" si="10"/>
        <v>7</v>
      </c>
      <c r="D9">
        <f>IF(AG9=0,"",IF(COUNTIFS($AG$6:$AG$177,"&gt;"&amp;AG9)+COUNTIFS(AG$6:AG9,"="&amp;AG9)=0,"",COUNTIFS($AG$6:$AG$177,"&gt;"&amp;AG9)+COUNTIFS(AG$6:AG9,"="&amp;AG9)))</f>
        <v>9</v>
      </c>
      <c r="F9" s="19" t="s">
        <v>37</v>
      </c>
      <c r="G9" s="103">
        <f>IFERROR(IF(VLOOKUP(F9,Lookups!$A$2:$F$111,2,FALSE)="","",VLOOKUP(F9,Lookups!$A$2:$F$111,2,FALSE)),"")</f>
        <v>880</v>
      </c>
      <c r="H9" s="103" t="str">
        <f>IFERROR(IF(VLOOKUP(F9,Lookups!$A$2:$F$111,3,FALSE)="","",VLOOKUP(F9,Lookups!$A$2:$F$111,3,FALSE)),"")</f>
        <v>AA</v>
      </c>
      <c r="I9" s="103" t="str">
        <f>IFERROR(IF(AF9=0,"",VLOOKUP(AF9,Lookups!$K$2:$L$6,2,TRUE)),"")</f>
        <v>AA</v>
      </c>
      <c r="J9" s="103" t="str">
        <f>IF(AD9&lt;Lookups!$I$5,"Y","N")</f>
        <v>N</v>
      </c>
      <c r="K9" s="103" t="str">
        <f>IFERROR(IF(VLOOKUP(F9,Lookups!$A$2:$F$111,4,FALSE)="","",VLOOKUP(F9,Lookups!$A$2:$F$111,4,FALSE)),"")</f>
        <v>PCP</v>
      </c>
      <c r="L9" s="103" t="str">
        <f>IFERROR(IF(VLOOKUP(F9,Lookups!$A$2:$F$111,5,FALSE)="","",VLOOKUP(F9,Lookups!$A$2:$F$111,5,FALSE)),"")</f>
        <v>Buccaneers</v>
      </c>
      <c r="M9" s="104" t="str">
        <f>IFERROR(IF(VLOOKUP(F9,Lookups!$A$2:$F$111,6,FALSE)="","",VLOOKUP(F9,Lookups!$A$2:$F$111,6,FALSE)),"")</f>
        <v>Buccaneers</v>
      </c>
      <c r="N9" s="57">
        <f>IFERROR(IF(VLOOKUP(F9,Scores!$A$1:$I$99,2,FALSE)="","",VLOOKUP(F9,Scores!$A$1:$I$99,2,FALSE)),"")</f>
        <v>36</v>
      </c>
      <c r="O9" s="58">
        <f>IFERROR(IF(VLOOKUP(F9,Scores!$A$1:$I$99,3,FALSE)="","",VLOOKUP(F9,Scores!$A$1:$I$99,3,FALSE)),"")</f>
        <v>28</v>
      </c>
      <c r="P9" s="58">
        <f>IFERROR(IF(VLOOKUP(F9,Scores!$A$1:$I$99,4,FALSE)="","",VLOOKUP(F9,Scores!$A$1:$I$99,4,FALSE)),"")</f>
        <v>33</v>
      </c>
      <c r="Q9" s="58" t="str">
        <f>IFERROR(IF(VLOOKUP(F9,Scores!$A$1:$I$99,5,FALSE)="","",VLOOKUP(F9,Scores!$A$1:$I$99,5,FALSE)),"")</f>
        <v/>
      </c>
      <c r="R9" s="58">
        <f>IFERROR(IF(VLOOKUP(F9,Scores!$A$1:$I$99,6,FALSE)="","",VLOOKUP(F9,Scores!$A$1:$I$99,6,FALSE)),"")</f>
        <v>34</v>
      </c>
      <c r="S9" s="58">
        <f>IFERROR(IF(VLOOKUP(F9,Scores!$A$1:$I$99,7,FALSE)="","",VLOOKUP(F9,Scores!$A$1:$I$99,7,FALSE)),"")</f>
        <v>34</v>
      </c>
      <c r="T9" s="58" t="str">
        <f>IFERROR(IF(VLOOKUP(F9,Scores!$A$1:$I$99,8,FALSE)="","",VLOOKUP(F9,Scores!$A$1:$I$99,8,FALSE)),"")</f>
        <v/>
      </c>
      <c r="U9" s="60" t="str">
        <f>IFERROR(IF(VLOOKUP(F9,Scores!$A$1:$I$99,9,FALSE)="","",VLOOKUP(F9,Scores!$A$1:$I$99,9,FALSE)),"")</f>
        <v/>
      </c>
      <c r="V9" s="54">
        <f t="shared" si="17"/>
        <v>0.97297297297297303</v>
      </c>
      <c r="W9" s="55">
        <f t="shared" si="18"/>
        <v>0.90322580645161288</v>
      </c>
      <c r="X9" s="55">
        <f t="shared" si="19"/>
        <v>0.89189189189189189</v>
      </c>
      <c r="Y9" s="55" t="str">
        <f t="shared" si="20"/>
        <v/>
      </c>
      <c r="Z9" s="55">
        <f t="shared" si="21"/>
        <v>0.89473684210526316</v>
      </c>
      <c r="AA9" s="55">
        <f t="shared" si="22"/>
        <v>0.91891891891891897</v>
      </c>
      <c r="AB9" s="55" t="str">
        <f t="shared" si="23"/>
        <v/>
      </c>
      <c r="AC9" s="56" t="str">
        <f t="shared" si="24"/>
        <v/>
      </c>
      <c r="AD9" s="79">
        <f t="shared" si="25"/>
        <v>5</v>
      </c>
      <c r="AE9" s="59">
        <f t="shared" si="26"/>
        <v>0.91634928646813196</v>
      </c>
      <c r="AF9" s="55" cm="1">
        <f t="array" ref="AF9">IFERROR(IF(AD9&gt;Lookups!$I$5-1,AVERAGE(LARGE(V9:AC9,_xlfn.SEQUENCE(Lookups!$I$5))),AVERAGE(LARGE(V9:AC9,_xlfn.SEQUENCE(AD9)))),"")</f>
        <v>0.92246363511219209</v>
      </c>
      <c r="AG9" s="124">
        <f t="shared" si="27"/>
        <v>165</v>
      </c>
      <c r="AH9" s="78">
        <f>IF(AD9=Lookups!$I$5+1,LARGE(V9:AC9,5),"")</f>
        <v>0.89189189189189189</v>
      </c>
      <c r="AI9" s="78" t="str">
        <f>IF(AD9=Lookups!$I$5+2,LARGE(V9:AC9,6),"")</f>
        <v/>
      </c>
      <c r="AJ9" s="78"/>
      <c r="AK9" s="78"/>
      <c r="AL9" s="140">
        <f t="shared" si="11"/>
        <v>7</v>
      </c>
      <c r="AM9" s="134">
        <f>IF(OR(AD9=0,AD9=""),"",IF(COUNTIFS($AR$6:$AR$177,"&gt;"&amp;AR9)+COUNTIFS(AR$6:AR9,"="&amp;AR9)=0,"",COUNTIFS($AR$6:$AR$177,"&gt;"&amp;AR9)+COUNTIFS(AR$6:AR9,"="&amp;AR9)))</f>
        <v>7</v>
      </c>
      <c r="AN9" s="134" t="str">
        <f>IFERROR(IF(OR(AD9=0,AD9=""),"",IF(COUNTIFS($AS$6:$AS$177,"&gt;"&amp;AS9)+COUNTIFS(AS$6:AS9,"="&amp;AS9)=0,"",COUNTIFS($AS$6:$AS$177,"&gt;"&amp;AS9)+COUNTIFS(AS$6:AS9,"="&amp;AS9)+$AM$5)),"")</f>
        <v/>
      </c>
      <c r="AO9" s="134" t="str">
        <f>IFERROR(IF(OR(AD9=0,AD9=""),"",IF(COUNTIFS($AT$6:$AT$177,"&gt;"&amp;AT9)+COUNTIFS(AT$6:AT9,"="&amp;AT9)=0,"",COUNTIFS($AT$6:$AT$177,"&gt;"&amp;AT9)+COUNTIFS(AT$6:AT9,"="&amp;AT9)+$AN$5)),"")</f>
        <v/>
      </c>
      <c r="AP9" s="134" t="str">
        <f>IFERROR(IF(OR(AD9=0,AD9=""),"",IF(COUNTIFS($AU$6:$AU$177,"&gt;"&amp;AU9)+COUNTIFS(AU$6:AU9,"="&amp;AU9)=0,"",COUNTIFS($AU$6:$AU$177,"&gt;"&amp;AU9)+COUNTIFS(AU$6:AU9,"="&amp;AU9)+$AO$5)),"")</f>
        <v/>
      </c>
      <c r="AQ9" s="134" t="str">
        <f>IFERROR(IF(OR(AD9=0,AD9=""),"",IF(COUNTIFS($AV$6:$AV$177,"&gt;"&amp;AV9)+COUNTIFS(AV$6:AV9,"="&amp;AV9)=0,"",COUNTIFS($AV$6:$AV$177,"&gt;"&amp;AV9)+COUNTIFS(AV$6:AV9,"="&amp;AV9)+$AP$5)),"")</f>
        <v/>
      </c>
      <c r="AR9" s="78">
        <f t="shared" si="12"/>
        <v>0.92246363511219209</v>
      </c>
      <c r="AS9" s="78" t="str">
        <f t="shared" si="13"/>
        <v/>
      </c>
      <c r="AT9" s="78" t="str">
        <f t="shared" si="14"/>
        <v/>
      </c>
      <c r="AU9" s="78" t="str">
        <f t="shared" si="15"/>
        <v/>
      </c>
      <c r="AV9" s="78" t="str">
        <f t="shared" si="16"/>
        <v/>
      </c>
    </row>
    <row r="10" spans="1:54" ht="16.5" customHeight="1" x14ac:dyDescent="0.3">
      <c r="A10">
        <f>IF(AD10="","",COUNTIFS($H$6:$H$120,H10,$AF$6:$AF$120,"&gt;"&amp;AF10)+COUNTIFS(H10:$H$120,H10,AF10:$AF$120,AF10))</f>
        <v>2</v>
      </c>
      <c r="B10">
        <f>IF(AD10=0,"",IF(COUNTIFS($AE$6:$AE$177,"&gt;"&amp;AE10)+COUNTIFS(AE$6:AE10,"="&amp;AE10)=0,"",COUNTIFS($AE$6:$AE$177,"&gt;"&amp;AE10)+COUNTIFS(AE$6:AE10,"="&amp;AE10)))</f>
        <v>3</v>
      </c>
      <c r="C10">
        <f t="shared" si="10"/>
        <v>2</v>
      </c>
      <c r="D10">
        <f>IF(AG10=0,"",IF(COUNTIFS($AG$6:$AG$177,"&gt;"&amp;AG10)+COUNTIFS(AG$6:AG10,"="&amp;AG10)=0,"",COUNTIFS($AG$6:$AG$177,"&gt;"&amp;AG10)+COUNTIFS(AG$6:AG10,"="&amp;AG10)))</f>
        <v>5</v>
      </c>
      <c r="F10" s="19" t="s">
        <v>42</v>
      </c>
      <c r="G10" s="103">
        <f>IFERROR(IF(VLOOKUP(F10,Lookups!$A$2:$F$111,2,FALSE)="","",VLOOKUP(F10,Lookups!$A$2:$F$111,2,FALSE)),"")</f>
        <v>1688</v>
      </c>
      <c r="H10" s="103" t="str">
        <f>IFERROR(IF(VLOOKUP(F10,Lookups!$A$2:$F$111,3,FALSE)="","",VLOOKUP(F10,Lookups!$A$2:$F$111,3,FALSE)),"")</f>
        <v>AA</v>
      </c>
      <c r="I10" s="103" t="str">
        <f>IFERROR(IF(AF10=0,"",VLOOKUP(AF10,Lookups!$K$2:$L$6,2,TRUE)),"")</f>
        <v>AA</v>
      </c>
      <c r="J10" s="103" t="str">
        <f>IF(AD10&lt;Lookups!$I$5,"Y","N")</f>
        <v>N</v>
      </c>
      <c r="K10" s="103" t="str">
        <f>IFERROR(IF(VLOOKUP(F10,Lookups!$A$2:$F$111,4,FALSE)="","",VLOOKUP(F10,Lookups!$A$2:$F$111,4,FALSE)),"")</f>
        <v>PCP</v>
      </c>
      <c r="L10" s="103" t="str">
        <f>IFERROR(IF(VLOOKUP(F10,Lookups!$A$2:$F$111,5,FALSE)="","",VLOOKUP(F10,Lookups!$A$2:$F$111,5,FALSE)),"")</f>
        <v>Frobury</v>
      </c>
      <c r="M10" s="104" t="str">
        <f>IFERROR(IF(VLOOKUP(F10,Lookups!$A$2:$F$111,6,FALSE)="","",VLOOKUP(F10,Lookups!$A$2:$F$111,6,FALSE)),"")</f>
        <v>Frobury</v>
      </c>
      <c r="N10" s="57">
        <f>IFERROR(IF(VLOOKUP(F10,Scores!$A$1:$I$99,2,FALSE)="","",VLOOKUP(F10,Scores!$A$1:$I$99,2,FALSE)),"")</f>
        <v>36</v>
      </c>
      <c r="O10" s="58" t="str">
        <f>IFERROR(IF(VLOOKUP(F10,Scores!$A$1:$I$99,3,FALSE)="","",VLOOKUP(F10,Scores!$A$1:$I$99,3,FALSE)),"")</f>
        <v/>
      </c>
      <c r="P10" s="58">
        <f>IFERROR(IF(VLOOKUP(F10,Scores!$A$1:$I$99,4,FALSE)="","",VLOOKUP(F10,Scores!$A$1:$I$99,4,FALSE)),"")</f>
        <v>36</v>
      </c>
      <c r="Q10" s="58">
        <f>IFERROR(IF(VLOOKUP(F10,Scores!$A$1:$I$99,5,FALSE)="","",VLOOKUP(F10,Scores!$A$1:$I$99,5,FALSE)),"")</f>
        <v>34</v>
      </c>
      <c r="R10" s="58">
        <f>IFERROR(IF(VLOOKUP(F10,Scores!$A$1:$I$99,6,FALSE)="","",VLOOKUP(F10,Scores!$A$1:$I$99,6,FALSE)),"")</f>
        <v>34</v>
      </c>
      <c r="S10" s="58">
        <f>IFERROR(IF(VLOOKUP(F10,Scores!$A$1:$I$99,7,FALSE)="","",VLOOKUP(F10,Scores!$A$1:$I$99,7,FALSE)),"")</f>
        <v>37</v>
      </c>
      <c r="T10" s="58" t="str">
        <f>IFERROR(IF(VLOOKUP(F10,Scores!$A$1:$I$99,8,FALSE)="","",VLOOKUP(F10,Scores!$A$1:$I$99,8,FALSE)),"")</f>
        <v/>
      </c>
      <c r="U10" s="60" t="str">
        <f>IFERROR(IF(VLOOKUP(F10,Scores!$A$1:$I$99,9,FALSE)="","",VLOOKUP(F10,Scores!$A$1:$I$99,9,FALSE)),"")</f>
        <v/>
      </c>
      <c r="V10" s="54">
        <f t="shared" si="17"/>
        <v>0.97297297297297303</v>
      </c>
      <c r="W10" s="55" t="str">
        <f t="shared" si="18"/>
        <v/>
      </c>
      <c r="X10" s="55">
        <f t="shared" si="19"/>
        <v>0.97297297297297303</v>
      </c>
      <c r="Y10" s="55">
        <f t="shared" si="20"/>
        <v>0.94444444444444442</v>
      </c>
      <c r="Z10" s="55">
        <f t="shared" si="21"/>
        <v>0.89473684210526316</v>
      </c>
      <c r="AA10" s="55">
        <f t="shared" si="22"/>
        <v>1</v>
      </c>
      <c r="AB10" s="55" t="str">
        <f t="shared" si="23"/>
        <v/>
      </c>
      <c r="AC10" s="56" t="str">
        <f t="shared" si="24"/>
        <v/>
      </c>
      <c r="AD10" s="79">
        <f t="shared" si="25"/>
        <v>5</v>
      </c>
      <c r="AE10" s="59">
        <f t="shared" si="26"/>
        <v>0.95702544649913079</v>
      </c>
      <c r="AF10" s="55" cm="1">
        <f t="array" ref="AF10">IFERROR(IF(AD10&gt;Lookups!$I$5-1,AVERAGE(LARGE(V10:AC10,_xlfn.SEQUENCE(Lookups!$I$5))),AVERAGE(LARGE(V10:AC10,_xlfn.SEQUENCE(AD10)))),"")</f>
        <v>0.97259759759759756</v>
      </c>
      <c r="AG10" s="124">
        <f t="shared" si="27"/>
        <v>177</v>
      </c>
      <c r="AH10" s="78">
        <f>IF(AD10=Lookups!$I$5+1,LARGE(V10:AC10,5),"")</f>
        <v>0.89473684210526316</v>
      </c>
      <c r="AI10" s="78" t="str">
        <f>IF(AD10=Lookups!$I$5+2,LARGE(V10:AC10,6),"")</f>
        <v/>
      </c>
      <c r="AJ10" s="78"/>
      <c r="AK10" s="78"/>
      <c r="AL10" s="140">
        <f t="shared" si="11"/>
        <v>2</v>
      </c>
      <c r="AM10" s="134">
        <f>IF(OR(AD10=0,AD10=""),"",IF(COUNTIFS($AR$6:$AR$177,"&gt;"&amp;AR10)+COUNTIFS(AR$6:AR10,"="&amp;AR10)=0,"",COUNTIFS($AR$6:$AR$177,"&gt;"&amp;AR10)+COUNTIFS(AR$6:AR10,"="&amp;AR10)))</f>
        <v>2</v>
      </c>
      <c r="AN10" s="134" t="str">
        <f>IFERROR(IF(OR(AD10=0,AD10=""),"",IF(COUNTIFS($AS$6:$AS$177,"&gt;"&amp;AS10)+COUNTIFS(AS$6:AS10,"="&amp;AS10)=0,"",COUNTIFS($AS$6:$AS$177,"&gt;"&amp;AS10)+COUNTIFS(AS$6:AS10,"="&amp;AS10)+$AM$5)),"")</f>
        <v/>
      </c>
      <c r="AO10" s="134" t="str">
        <f>IFERROR(IF(OR(AD10=0,AD10=""),"",IF(COUNTIFS($AT$6:$AT$177,"&gt;"&amp;AT10)+COUNTIFS(AT$6:AT10,"="&amp;AT10)=0,"",COUNTIFS($AT$6:$AT$177,"&gt;"&amp;AT10)+COUNTIFS(AT$6:AT10,"="&amp;AT10)+$AN$5)),"")</f>
        <v/>
      </c>
      <c r="AP10" s="134" t="str">
        <f>IFERROR(IF(OR(AD10=0,AD10=""),"",IF(COUNTIFS($AU$6:$AU$177,"&gt;"&amp;AU10)+COUNTIFS(AU$6:AU10,"="&amp;AU10)=0,"",COUNTIFS($AU$6:$AU$177,"&gt;"&amp;AU10)+COUNTIFS(AU$6:AU10,"="&amp;AU10)+$AO$5)),"")</f>
        <v/>
      </c>
      <c r="AQ10" s="134" t="str">
        <f>IFERROR(IF(OR(AD10=0,AD10=""),"",IF(COUNTIFS($AV$6:$AV$177,"&gt;"&amp;AV10)+COUNTIFS(AV$6:AV10,"="&amp;AV10)=0,"",COUNTIFS($AV$6:$AV$177,"&gt;"&amp;AV10)+COUNTIFS(AV$6:AV10,"="&amp;AV10)+$AP$5)),"")</f>
        <v/>
      </c>
      <c r="AR10" s="78">
        <f t="shared" si="12"/>
        <v>0.97259759759759756</v>
      </c>
      <c r="AS10" s="78" t="str">
        <f t="shared" si="13"/>
        <v/>
      </c>
      <c r="AT10" s="78" t="str">
        <f t="shared" si="14"/>
        <v/>
      </c>
      <c r="AU10" s="78" t="str">
        <f t="shared" si="15"/>
        <v/>
      </c>
      <c r="AV10" s="78" t="str">
        <f t="shared" si="16"/>
        <v/>
      </c>
    </row>
    <row r="11" spans="1:54" ht="16.5" customHeight="1" x14ac:dyDescent="0.3">
      <c r="A11">
        <f>IF(AD11="","",COUNTIFS($H$6:$H$120,H11,$AF$6:$AF$120,"&gt;"&amp;AF11)+COUNTIFS(H11:$H$120,H11,AF11:$AF$120,AF11))</f>
        <v>1</v>
      </c>
      <c r="B11">
        <f>IF(AD11=0,"",IF(COUNTIFS($AE$6:$AE$177,"&gt;"&amp;AE11)+COUNTIFS(AE$6:AE11,"="&amp;AE11)=0,"",COUNTIFS($AE$6:$AE$177,"&gt;"&amp;AE11)+COUNTIFS(AE$6:AE11,"="&amp;AE11)))</f>
        <v>1</v>
      </c>
      <c r="C11">
        <f t="shared" si="10"/>
        <v>1</v>
      </c>
      <c r="D11">
        <f>IF(AG11=0,"",IF(COUNTIFS($AG$6:$AG$177,"&gt;"&amp;AG11)+COUNTIFS(AG$6:AG11,"="&amp;AG11)=0,"",COUNTIFS($AG$6:$AG$177,"&gt;"&amp;AG11)+COUNTIFS(AG$6:AG11,"="&amp;AG11)))</f>
        <v>6</v>
      </c>
      <c r="F11" s="19" t="s">
        <v>34</v>
      </c>
      <c r="G11" s="103">
        <f>IFERROR(IF(VLOOKUP(F11,Lookups!$A$2:$F$111,2,FALSE)="","",VLOOKUP(F11,Lookups!$A$2:$F$111,2,FALSE)),"")</f>
        <v>1065</v>
      </c>
      <c r="H11" s="103" t="str">
        <f>IFERROR(IF(VLOOKUP(F11,Lookups!$A$2:$F$111,3,FALSE)="","",VLOOKUP(F11,Lookups!$A$2:$F$111,3,FALSE)),"")</f>
        <v>AA</v>
      </c>
      <c r="I11" s="103" t="str">
        <f>IFERROR(IF(AF11=0,"",VLOOKUP(AF11,Lookups!$K$2:$L$6,2,TRUE)),"")</f>
        <v>AA</v>
      </c>
      <c r="J11" s="103" t="str">
        <f>IF(AD11&lt;Lookups!$I$5,"Y","N")</f>
        <v>N</v>
      </c>
      <c r="K11" s="103" t="str">
        <f>IFERROR(IF(VLOOKUP(F11,Lookups!$A$2:$F$111,4,FALSE)="","",VLOOKUP(F11,Lookups!$A$2:$F$111,4,FALSE)),"")</f>
        <v>PCP</v>
      </c>
      <c r="L11" s="103" t="str">
        <f>IFERROR(IF(VLOOKUP(F11,Lookups!$A$2:$F$111,5,FALSE)="","",VLOOKUP(F11,Lookups!$A$2:$F$111,5,FALSE)),"")</f>
        <v>Meon</v>
      </c>
      <c r="M11" s="104" t="str">
        <f>IFERROR(IF(VLOOKUP(F11,Lookups!$A$2:$F$111,6,FALSE)="","",VLOOKUP(F11,Lookups!$A$2:$F$111,6,FALSE)),"")</f>
        <v>Meon</v>
      </c>
      <c r="N11" s="57">
        <f>IFERROR(IF(VLOOKUP(F11,Scores!$A$1:$I$99,2,FALSE)="","",VLOOKUP(F11,Scores!$A$1:$I$99,2,FALSE)),"")</f>
        <v>36</v>
      </c>
      <c r="O11" s="58">
        <f>IFERROR(IF(VLOOKUP(F11,Scores!$A$1:$I$99,3,FALSE)="","",VLOOKUP(F11,Scores!$A$1:$I$99,3,FALSE)),"")</f>
        <v>29</v>
      </c>
      <c r="P11" s="58" t="str">
        <f>IFERROR(IF(VLOOKUP(F11,Scores!$A$1:$I$99,4,FALSE)="","",VLOOKUP(F11,Scores!$A$1:$I$99,4,FALSE)),"")</f>
        <v/>
      </c>
      <c r="Q11" s="58">
        <f>IFERROR(IF(VLOOKUP(F11,Scores!$A$1:$I$99,5,FALSE)="","",VLOOKUP(F11,Scores!$A$1:$I$99,5,FALSE)),"")</f>
        <v>36</v>
      </c>
      <c r="R11" s="58">
        <f>IFERROR(IF(VLOOKUP(F11,Scores!$A$1:$I$99,6,FALSE)="","",VLOOKUP(F11,Scores!$A$1:$I$99,6,FALSE)),"")</f>
        <v>38</v>
      </c>
      <c r="S11" s="58">
        <f>IFERROR(IF(VLOOKUP(F11,Scores!$A$1:$I$99,7,FALSE)="","",VLOOKUP(F11,Scores!$A$1:$I$99,7,FALSE)),"")</f>
        <v>37</v>
      </c>
      <c r="T11" s="58" t="str">
        <f>IFERROR(IF(VLOOKUP(F11,Scores!$A$1:$I$99,8,FALSE)="","",VLOOKUP(F11,Scores!$A$1:$I$99,8,FALSE)),"")</f>
        <v/>
      </c>
      <c r="U11" s="60" t="str">
        <f>IFERROR(IF(VLOOKUP(F11,Scores!$A$1:$I$99,9,FALSE)="","",VLOOKUP(F11,Scores!$A$1:$I$99,9,FALSE)),"")</f>
        <v/>
      </c>
      <c r="V11" s="54">
        <f t="shared" si="17"/>
        <v>0.97297297297297303</v>
      </c>
      <c r="W11" s="55">
        <f t="shared" si="18"/>
        <v>0.93548387096774188</v>
      </c>
      <c r="X11" s="55" t="str">
        <f t="shared" si="19"/>
        <v/>
      </c>
      <c r="Y11" s="55">
        <f t="shared" si="20"/>
        <v>1</v>
      </c>
      <c r="Z11" s="55">
        <f t="shared" si="21"/>
        <v>1</v>
      </c>
      <c r="AA11" s="55">
        <f t="shared" si="22"/>
        <v>1</v>
      </c>
      <c r="AB11" s="55" t="str">
        <f t="shared" si="23"/>
        <v/>
      </c>
      <c r="AC11" s="56" t="str">
        <f t="shared" si="24"/>
        <v/>
      </c>
      <c r="AD11" s="79">
        <f t="shared" si="25"/>
        <v>5</v>
      </c>
      <c r="AE11" s="59">
        <f t="shared" si="26"/>
        <v>0.981691368788143</v>
      </c>
      <c r="AF11" s="55" cm="1">
        <f t="array" ref="AF11">IFERROR(IF(AD11&gt;Lookups!$I$5-1,AVERAGE(LARGE(V11:AC11,_xlfn.SEQUENCE(Lookups!$I$5))),AVERAGE(LARGE(V11:AC11,_xlfn.SEQUENCE(AD11)))),"")</f>
        <v>0.9932432432432432</v>
      </c>
      <c r="AG11" s="124">
        <f t="shared" si="27"/>
        <v>176</v>
      </c>
      <c r="AH11" s="78">
        <f>IF(AD11=Lookups!$I$5+1,LARGE(V11:AC11,5),"")</f>
        <v>0.93548387096774188</v>
      </c>
      <c r="AI11" s="78" t="str">
        <f>IF(AD11=Lookups!$I$5+2,LARGE(V11:AC11,6),"")</f>
        <v/>
      </c>
      <c r="AJ11" s="78"/>
      <c r="AK11" s="78"/>
      <c r="AL11" s="140">
        <f t="shared" si="11"/>
        <v>1</v>
      </c>
      <c r="AM11" s="134">
        <f>IF(OR(AD11=0,AD11=""),"",IF(COUNTIFS($AR$6:$AR$177,"&gt;"&amp;AR11)+COUNTIFS(AR$6:AR11,"="&amp;AR11)=0,"",COUNTIFS($AR$6:$AR$177,"&gt;"&amp;AR11)+COUNTIFS(AR$6:AR11,"="&amp;AR11)))</f>
        <v>1</v>
      </c>
      <c r="AN11" s="134" t="str">
        <f>IFERROR(IF(OR(AD11=0,AD11=""),"",IF(COUNTIFS($AS$6:$AS$177,"&gt;"&amp;AS11)+COUNTIFS(AS$6:AS11,"="&amp;AS11)=0,"",COUNTIFS($AS$6:$AS$177,"&gt;"&amp;AS11)+COUNTIFS(AS$6:AS11,"="&amp;AS11)+$AM$5)),"")</f>
        <v/>
      </c>
      <c r="AO11" s="134" t="str">
        <f>IFERROR(IF(OR(AD11=0,AD11=""),"",IF(COUNTIFS($AT$6:$AT$177,"&gt;"&amp;AT11)+COUNTIFS(AT$6:AT11,"="&amp;AT11)=0,"",COUNTIFS($AT$6:$AT$177,"&gt;"&amp;AT11)+COUNTIFS(AT$6:AT11,"="&amp;AT11)+$AN$5)),"")</f>
        <v/>
      </c>
      <c r="AP11" s="134" t="str">
        <f>IFERROR(IF(OR(AD11=0,AD11=""),"",IF(COUNTIFS($AU$6:$AU$177,"&gt;"&amp;AU11)+COUNTIFS(AU$6:AU11,"="&amp;AU11)=0,"",COUNTIFS($AU$6:$AU$177,"&gt;"&amp;AU11)+COUNTIFS(AU$6:AU11,"="&amp;AU11)+$AO$5)),"")</f>
        <v/>
      </c>
      <c r="AQ11" s="134" t="str">
        <f>IFERROR(IF(OR(AD11=0,AD11=""),"",IF(COUNTIFS($AV$6:$AV$177,"&gt;"&amp;AV11)+COUNTIFS(AV$6:AV11,"="&amp;AV11)=0,"",COUNTIFS($AV$6:$AV$177,"&gt;"&amp;AV11)+COUNTIFS(AV$6:AV11,"="&amp;AV11)+$AP$5)),"")</f>
        <v/>
      </c>
      <c r="AR11" s="78">
        <f t="shared" si="12"/>
        <v>0.9932432432432432</v>
      </c>
      <c r="AS11" s="78" t="str">
        <f t="shared" si="13"/>
        <v/>
      </c>
      <c r="AT11" s="78" t="str">
        <f t="shared" si="14"/>
        <v/>
      </c>
      <c r="AU11" s="78" t="str">
        <f t="shared" si="15"/>
        <v/>
      </c>
      <c r="AV11" s="78" t="str">
        <f t="shared" si="16"/>
        <v/>
      </c>
    </row>
    <row r="12" spans="1:54" ht="16.5" customHeight="1" x14ac:dyDescent="0.3">
      <c r="A12">
        <f>IF(AD12="","",COUNTIFS($H$6:$H$120,H12,$AF$6:$AF$120,"&gt;"&amp;AF12)+COUNTIFS(H12:$H$120,H12,AF12:$AF$120,AF12))</f>
        <v>4</v>
      </c>
      <c r="B12">
        <f>IF(AD12=0,"",IF(COUNTIFS($AE$6:$AE$177,"&gt;"&amp;AE12)+COUNTIFS(AE$6:AE12,"="&amp;AE12)=0,"",COUNTIFS($AE$6:$AE$177,"&gt;"&amp;AE12)+COUNTIFS(AE$6:AE12,"="&amp;AE12)))</f>
        <v>10</v>
      </c>
      <c r="C12">
        <f t="shared" si="10"/>
        <v>4</v>
      </c>
      <c r="D12">
        <f>IF(AG12=0,"",IF(COUNTIFS($AG$6:$AG$177,"&gt;"&amp;AG12)+COUNTIFS(AG$6:AG12,"="&amp;AG12)=0,"",COUNTIFS($AG$6:$AG$177,"&gt;"&amp;AG12)+COUNTIFS(AG$6:AG12,"="&amp;AG12)))</f>
        <v>3</v>
      </c>
      <c r="F12" s="19" t="s">
        <v>32</v>
      </c>
      <c r="G12" s="103">
        <f>IFERROR(IF(VLOOKUP(F12,Lookups!$A$2:$F$111,2,FALSE)="","",VLOOKUP(F12,Lookups!$A$2:$F$111,2,FALSE)),"")</f>
        <v>834</v>
      </c>
      <c r="H12" s="103" t="str">
        <f>IFERROR(IF(VLOOKUP(F12,Lookups!$A$2:$F$111,3,FALSE)="","",VLOOKUP(F12,Lookups!$A$2:$F$111,3,FALSE)),"")</f>
        <v>AA</v>
      </c>
      <c r="I12" s="103" t="str">
        <f>IFERROR(IF(AF12=0,"",VLOOKUP(AF12,Lookups!$K$2:$L$6,2,TRUE)),"")</f>
        <v>AA</v>
      </c>
      <c r="J12" s="103" t="str">
        <f>IF(AD12&lt;Lookups!$I$5,"Y","N")</f>
        <v>N</v>
      </c>
      <c r="K12" s="103" t="str">
        <f>IFERROR(IF(VLOOKUP(F12,Lookups!$A$2:$F$111,4,FALSE)="","",VLOOKUP(F12,Lookups!$A$2:$F$111,4,FALSE)),"")</f>
        <v>PCP</v>
      </c>
      <c r="L12" s="103" t="str">
        <f>IFERROR(IF(VLOOKUP(F12,Lookups!$A$2:$F$111,5,FALSE)="","",VLOOKUP(F12,Lookups!$A$2:$F$111,5,FALSE)),"")</f>
        <v>Weston Warrior</v>
      </c>
      <c r="M12" s="104" t="str">
        <f>IFERROR(IF(VLOOKUP(F12,Lookups!$A$2:$F$111,6,FALSE)="","",VLOOKUP(F12,Lookups!$A$2:$F$111,6,FALSE)),"")</f>
        <v>Weston Warriors</v>
      </c>
      <c r="N12" s="57">
        <f>IFERROR(IF(VLOOKUP(F12,Scores!$A$1:$I$99,2,FALSE)="","",VLOOKUP(F12,Scores!$A$1:$I$99,2,FALSE)),"")</f>
        <v>34</v>
      </c>
      <c r="O12" s="58">
        <f>IFERROR(IF(VLOOKUP(F12,Scores!$A$1:$I$99,3,FALSE)="","",VLOOKUP(F12,Scores!$A$1:$I$99,3,FALSE)),"")</f>
        <v>27</v>
      </c>
      <c r="P12" s="58">
        <f>IFERROR(IF(VLOOKUP(F12,Scores!$A$1:$I$99,4,FALSE)="","",VLOOKUP(F12,Scores!$A$1:$I$99,4,FALSE)),"")</f>
        <v>37</v>
      </c>
      <c r="Q12" s="58">
        <f>IFERROR(IF(VLOOKUP(F12,Scores!$A$1:$I$99,5,FALSE)="","",VLOOKUP(F12,Scores!$A$1:$I$99,5,FALSE)),"")</f>
        <v>29</v>
      </c>
      <c r="R12" s="58">
        <f>IFERROR(IF(VLOOKUP(F12,Scores!$A$1:$I$99,6,FALSE)="","",VLOOKUP(F12,Scores!$A$1:$I$99,6,FALSE)),"")</f>
        <v>32</v>
      </c>
      <c r="S12" s="58">
        <f>IFERROR(IF(VLOOKUP(F12,Scores!$A$1:$I$99,7,FALSE)="","",VLOOKUP(F12,Scores!$A$1:$I$99,7,FALSE)),"")</f>
        <v>36</v>
      </c>
      <c r="T12" s="58" t="str">
        <f>IFERROR(IF(VLOOKUP(F12,Scores!$A$1:$I$99,8,FALSE)="","",VLOOKUP(F12,Scores!$A$1:$I$99,8,FALSE)),"")</f>
        <v/>
      </c>
      <c r="U12" s="60" t="str">
        <f>IFERROR(IF(VLOOKUP(F12,Scores!$A$1:$I$99,9,FALSE)="","",VLOOKUP(F12,Scores!$A$1:$I$99,9,FALSE)),"")</f>
        <v/>
      </c>
      <c r="V12" s="54">
        <f t="shared" si="17"/>
        <v>0.91891891891891897</v>
      </c>
      <c r="W12" s="55">
        <f t="shared" si="18"/>
        <v>0.87096774193548387</v>
      </c>
      <c r="X12" s="55">
        <f t="shared" si="19"/>
        <v>1</v>
      </c>
      <c r="Y12" s="55">
        <f t="shared" si="20"/>
        <v>0.80555555555555558</v>
      </c>
      <c r="Z12" s="55">
        <f t="shared" si="21"/>
        <v>0.84210526315789469</v>
      </c>
      <c r="AA12" s="55">
        <f t="shared" si="22"/>
        <v>0.97297297297297303</v>
      </c>
      <c r="AB12" s="55" t="str">
        <f t="shared" si="23"/>
        <v/>
      </c>
      <c r="AC12" s="56" t="str">
        <f t="shared" si="24"/>
        <v/>
      </c>
      <c r="AD12" s="79">
        <f t="shared" si="25"/>
        <v>6</v>
      </c>
      <c r="AE12" s="59">
        <f t="shared" si="26"/>
        <v>0.90175340875680432</v>
      </c>
      <c r="AF12" s="55" cm="1">
        <f t="array" ref="AF12">IFERROR(IF(AD12&gt;Lookups!$I$5-1,AVERAGE(LARGE(V12:AC12,_xlfn.SEQUENCE(Lookups!$I$5))),AVERAGE(LARGE(V12:AC12,_xlfn.SEQUENCE(AD12)))),"")</f>
        <v>0.94071490845684402</v>
      </c>
      <c r="AG12" s="124">
        <f t="shared" si="27"/>
        <v>195</v>
      </c>
      <c r="AH12" s="78" t="str">
        <f>IF(AD12=Lookups!$I$5+1,LARGE(V12:AC12,5),"")</f>
        <v/>
      </c>
      <c r="AI12" s="78">
        <f>IF(AD12=Lookups!$I$5+2,LARGE(V12:AC12,6),"")</f>
        <v>0.80555555555555558</v>
      </c>
      <c r="AJ12" s="78"/>
      <c r="AK12" s="78"/>
      <c r="AL12" s="140">
        <f t="shared" si="11"/>
        <v>4</v>
      </c>
      <c r="AM12" s="134">
        <f>IF(OR(AD12=0,AD12=""),"",IF(COUNTIFS($AR$6:$AR$177,"&gt;"&amp;AR12)+COUNTIFS(AR$6:AR12,"="&amp;AR12)=0,"",COUNTIFS($AR$6:$AR$177,"&gt;"&amp;AR12)+COUNTIFS(AR$6:AR12,"="&amp;AR12)))</f>
        <v>4</v>
      </c>
      <c r="AN12" s="134" t="str">
        <f>IFERROR(IF(OR(AD12=0,AD12=""),"",IF(COUNTIFS($AS$6:$AS$177,"&gt;"&amp;AS12)+COUNTIFS(AS$6:AS12,"="&amp;AS12)=0,"",COUNTIFS($AS$6:$AS$177,"&gt;"&amp;AS12)+COUNTIFS(AS$6:AS12,"="&amp;AS12)+$AM$5)),"")</f>
        <v/>
      </c>
      <c r="AO12" s="134" t="str">
        <f>IFERROR(IF(OR(AD12=0,AD12=""),"",IF(COUNTIFS($AT$6:$AT$177,"&gt;"&amp;AT12)+COUNTIFS(AT$6:AT12,"="&amp;AT12)=0,"",COUNTIFS($AT$6:$AT$177,"&gt;"&amp;AT12)+COUNTIFS(AT$6:AT12,"="&amp;AT12)+$AN$5)),"")</f>
        <v/>
      </c>
      <c r="AP12" s="134" t="str">
        <f>IFERROR(IF(OR(AD12=0,AD12=""),"",IF(COUNTIFS($AU$6:$AU$177,"&gt;"&amp;AU12)+COUNTIFS(AU$6:AU12,"="&amp;AU12)=0,"",COUNTIFS($AU$6:$AU$177,"&gt;"&amp;AU12)+COUNTIFS(AU$6:AU12,"="&amp;AU12)+$AO$5)),"")</f>
        <v/>
      </c>
      <c r="AQ12" s="134" t="str">
        <f>IFERROR(IF(OR(AD12=0,AD12=""),"",IF(COUNTIFS($AV$6:$AV$177,"&gt;"&amp;AV12)+COUNTIFS(AV$6:AV12,"="&amp;AV12)=0,"",COUNTIFS($AV$6:$AV$177,"&gt;"&amp;AV12)+COUNTIFS(AV$6:AV12,"="&amp;AV12)+$AP$5)),"")</f>
        <v/>
      </c>
      <c r="AR12" s="78">
        <f t="shared" si="12"/>
        <v>0.94071490845684402</v>
      </c>
      <c r="AS12" s="78" t="str">
        <f t="shared" si="13"/>
        <v/>
      </c>
      <c r="AT12" s="78" t="str">
        <f t="shared" si="14"/>
        <v/>
      </c>
      <c r="AU12" s="78" t="str">
        <f t="shared" si="15"/>
        <v/>
      </c>
      <c r="AV12" s="78" t="str">
        <f t="shared" si="16"/>
        <v/>
      </c>
    </row>
    <row r="13" spans="1:54" ht="16.5" customHeight="1" x14ac:dyDescent="0.3">
      <c r="A13">
        <f>IF(AD13="","",COUNTIFS($H$6:$H$120,H13,$AF$6:$AF$120,"&gt;"&amp;AF13)+COUNTIFS(H13:$H$120,H13,AF13:$AF$120,AF13))</f>
        <v>3</v>
      </c>
      <c r="B13">
        <f>IF(AD13=0,"",IF(COUNTIFS($AE$6:$AE$177,"&gt;"&amp;AE13)+COUNTIFS(AE$6:AE13,"="&amp;AE13)=0,"",COUNTIFS($AE$6:$AE$177,"&gt;"&amp;AE13)+COUNTIFS(AE$6:AE13,"="&amp;AE13)))</f>
        <v>4</v>
      </c>
      <c r="C13">
        <f t="shared" si="10"/>
        <v>3</v>
      </c>
      <c r="D13">
        <f>IF(AG13=0,"",IF(COUNTIFS($AG$6:$AG$177,"&gt;"&amp;AG13)+COUNTIFS(AG$6:AG13,"="&amp;AG13)=0,"",COUNTIFS($AG$6:$AG$177,"&gt;"&amp;AG13)+COUNTIFS(AG$6:AG13,"="&amp;AG13)))</f>
        <v>1</v>
      </c>
      <c r="F13" s="19" t="s">
        <v>27</v>
      </c>
      <c r="G13" s="103">
        <f>IFERROR(IF(VLOOKUP(F13,Lookups!$A$2:$F$111,2,FALSE)="","",VLOOKUP(F13,Lookups!$A$2:$F$111,2,FALSE)),"")</f>
        <v>968</v>
      </c>
      <c r="H13" s="103" t="str">
        <f>IFERROR(IF(VLOOKUP(F13,Lookups!$A$2:$F$111,3,FALSE)="","",VLOOKUP(F13,Lookups!$A$2:$F$111,3,FALSE)),"")</f>
        <v>AA</v>
      </c>
      <c r="I13" s="103" t="str">
        <f>IFERROR(IF(AF13=0,"",VLOOKUP(AF13,Lookups!$K$2:$L$6,2,TRUE)),"")</f>
        <v>AA</v>
      </c>
      <c r="J13" s="103" t="str">
        <f>IF(AD13&lt;Lookups!$I$5,"Y","N")</f>
        <v>N</v>
      </c>
      <c r="K13" s="103" t="str">
        <f>IFERROR(IF(VLOOKUP(F13,Lookups!$A$2:$F$111,4,FALSE)="","",VLOOKUP(F13,Lookups!$A$2:$F$111,4,FALSE)),"")</f>
        <v>PCP</v>
      </c>
      <c r="L13" s="103" t="str">
        <f>IFERROR(IF(VLOOKUP(F13,Lookups!$A$2:$F$111,5,FALSE)="","",VLOOKUP(F13,Lookups!$A$2:$F$111,5,FALSE)),"")</f>
        <v>Weston Warrior</v>
      </c>
      <c r="M13" s="104" t="str">
        <f>IFERROR(IF(VLOOKUP(F13,Lookups!$A$2:$F$111,6,FALSE)="","",VLOOKUP(F13,Lookups!$A$2:$F$111,6,FALSE)),"")</f>
        <v>Weston Warriors</v>
      </c>
      <c r="N13" s="57">
        <f>IFERROR(IF(VLOOKUP(F13,Scores!$A$1:$I$99,2,FALSE)="","",VLOOKUP(F13,Scores!$A$1:$I$99,2,FALSE)),"")</f>
        <v>37</v>
      </c>
      <c r="O13" s="58">
        <f>IFERROR(IF(VLOOKUP(F13,Scores!$A$1:$I$99,3,FALSE)="","",VLOOKUP(F13,Scores!$A$1:$I$99,3,FALSE)),"")</f>
        <v>31</v>
      </c>
      <c r="P13" s="58">
        <f>IFERROR(IF(VLOOKUP(F13,Scores!$A$1:$I$99,4,FALSE)="","",VLOOKUP(F13,Scores!$A$1:$I$99,4,FALSE)),"")</f>
        <v>33</v>
      </c>
      <c r="Q13" s="58">
        <f>IFERROR(IF(VLOOKUP(F13,Scores!$A$1:$I$99,5,FALSE)="","",VLOOKUP(F13,Scores!$A$1:$I$99,5,FALSE)),"")</f>
        <v>32</v>
      </c>
      <c r="R13" s="58">
        <f>IFERROR(IF(VLOOKUP(F13,Scores!$A$1:$I$99,6,FALSE)="","",VLOOKUP(F13,Scores!$A$1:$I$99,6,FALSE)),"")</f>
        <v>33</v>
      </c>
      <c r="S13" s="58">
        <f>IFERROR(IF(VLOOKUP(F13,Scores!$A$1:$I$99,7,FALSE)="","",VLOOKUP(F13,Scores!$A$1:$I$99,7,FALSE)),"")</f>
        <v>35</v>
      </c>
      <c r="T13" s="58" t="str">
        <f>IFERROR(IF(VLOOKUP(F13,Scores!$A$1:$I$99,8,FALSE)="","",VLOOKUP(F13,Scores!$A$1:$I$99,8,FALSE)),"")</f>
        <v/>
      </c>
      <c r="U13" s="60" t="str">
        <f>IFERROR(IF(VLOOKUP(F13,Scores!$A$1:$I$99,9,FALSE)="","",VLOOKUP(F13,Scores!$A$1:$I$99,9,FALSE)),"")</f>
        <v/>
      </c>
      <c r="V13" s="54">
        <f t="shared" si="17"/>
        <v>1</v>
      </c>
      <c r="W13" s="55">
        <f t="shared" si="18"/>
        <v>1</v>
      </c>
      <c r="X13" s="55">
        <f t="shared" si="19"/>
        <v>0.89189189189189189</v>
      </c>
      <c r="Y13" s="55">
        <f t="shared" si="20"/>
        <v>0.88888888888888884</v>
      </c>
      <c r="Z13" s="55">
        <f t="shared" si="21"/>
        <v>0.86842105263157898</v>
      </c>
      <c r="AA13" s="55">
        <f t="shared" si="22"/>
        <v>0.94594594594594594</v>
      </c>
      <c r="AB13" s="55" t="str">
        <f t="shared" si="23"/>
        <v/>
      </c>
      <c r="AC13" s="56" t="str">
        <f t="shared" si="24"/>
        <v/>
      </c>
      <c r="AD13" s="79">
        <f t="shared" si="25"/>
        <v>6</v>
      </c>
      <c r="AE13" s="59">
        <f t="shared" si="26"/>
        <v>0.93252462989305096</v>
      </c>
      <c r="AF13" s="55" cm="1">
        <f t="array" ref="AF13">IFERROR(IF(AD13&gt;Lookups!$I$5-1,AVERAGE(LARGE(V13:AC13,_xlfn.SEQUENCE(Lookups!$I$5))),AVERAGE(LARGE(V13:AC13,_xlfn.SEQUENCE(AD13)))),"")</f>
        <v>0.95945945945945943</v>
      </c>
      <c r="AG13" s="124">
        <f t="shared" si="27"/>
        <v>201</v>
      </c>
      <c r="AH13" s="78" t="str">
        <f>IF(AD13=Lookups!$I$5+1,LARGE(V13:AC13,5),"")</f>
        <v/>
      </c>
      <c r="AI13" s="78">
        <f>IF(AD13=Lookups!$I$5+2,LARGE(V13:AC13,6),"")</f>
        <v>0.86842105263157898</v>
      </c>
      <c r="AJ13" s="78"/>
      <c r="AK13" s="78"/>
      <c r="AL13" s="140">
        <f t="shared" si="11"/>
        <v>3</v>
      </c>
      <c r="AM13" s="134">
        <f>IF(OR(AD13=0,AD13=""),"",IF(COUNTIFS($AR$6:$AR$177,"&gt;"&amp;AR13)+COUNTIFS(AR$6:AR13,"="&amp;AR13)=0,"",COUNTIFS($AR$6:$AR$177,"&gt;"&amp;AR13)+COUNTIFS(AR$6:AR13,"="&amp;AR13)))</f>
        <v>3</v>
      </c>
      <c r="AN13" s="134" t="str">
        <f>IFERROR(IF(OR(AD13=0,AD13=""),"",IF(COUNTIFS($AS$6:$AS$177,"&gt;"&amp;AS13)+COUNTIFS(AS$6:AS13,"="&amp;AS13)=0,"",COUNTIFS($AS$6:$AS$177,"&gt;"&amp;AS13)+COUNTIFS(AS$6:AS13,"="&amp;AS13)+$AM$5)),"")</f>
        <v/>
      </c>
      <c r="AO13" s="134" t="str">
        <f>IFERROR(IF(OR(AD13=0,AD13=""),"",IF(COUNTIFS($AT$6:$AT$177,"&gt;"&amp;AT13)+COUNTIFS(AT$6:AT13,"="&amp;AT13)=0,"",COUNTIFS($AT$6:$AT$177,"&gt;"&amp;AT13)+COUNTIFS(AT$6:AT13,"="&amp;AT13)+$AN$5)),"")</f>
        <v/>
      </c>
      <c r="AP13" s="134" t="str">
        <f>IFERROR(IF(OR(AD13=0,AD13=""),"",IF(COUNTIFS($AU$6:$AU$177,"&gt;"&amp;AU13)+COUNTIFS(AU$6:AU13,"="&amp;AU13)=0,"",COUNTIFS($AU$6:$AU$177,"&gt;"&amp;AU13)+COUNTIFS(AU$6:AU13,"="&amp;AU13)+$AO$5)),"")</f>
        <v/>
      </c>
      <c r="AQ13" s="134" t="str">
        <f>IFERROR(IF(OR(AD13=0,AD13=""),"",IF(COUNTIFS($AV$6:$AV$177,"&gt;"&amp;AV13)+COUNTIFS(AV$6:AV13,"="&amp;AV13)=0,"",COUNTIFS($AV$6:$AV$177,"&gt;"&amp;AV13)+COUNTIFS(AV$6:AV13,"="&amp;AV13)+$AP$5)),"")</f>
        <v/>
      </c>
      <c r="AR13" s="78">
        <f t="shared" si="12"/>
        <v>0.95945945945945943</v>
      </c>
      <c r="AS13" s="78" t="str">
        <f t="shared" si="13"/>
        <v/>
      </c>
      <c r="AT13" s="78" t="str">
        <f t="shared" si="14"/>
        <v/>
      </c>
      <c r="AU13" s="78" t="str">
        <f t="shared" si="15"/>
        <v/>
      </c>
      <c r="AV13" s="78" t="str">
        <f t="shared" si="16"/>
        <v/>
      </c>
    </row>
    <row r="14" spans="1:54" ht="16.5" customHeight="1" x14ac:dyDescent="0.3">
      <c r="A14">
        <f>IF(AD14="","",COUNTIFS($H$6:$H$120,H14,$AF$6:$AF$120,"&gt;"&amp;AF14)+COUNTIFS(H14:$H$120,H14,AF14:$AF$120,AF14))</f>
        <v>9</v>
      </c>
      <c r="B14">
        <f>IF(AD14=0,"",IF(COUNTIFS($AE$6:$AE$177,"&gt;"&amp;AE14)+COUNTIFS(AE$6:AE14,"="&amp;AE14)=0,"",COUNTIFS($AE$6:$AE$177,"&gt;"&amp;AE14)+COUNTIFS(AE$6:AE14,"="&amp;AE14)))</f>
        <v>12</v>
      </c>
      <c r="C14">
        <f t="shared" si="10"/>
        <v>30</v>
      </c>
      <c r="D14">
        <f>IF(AG14=0,"",IF(COUNTIFS($AG$6:$AG$177,"&gt;"&amp;AG14)+COUNTIFS(AG$6:AG14,"="&amp;AG14)=0,"",COUNTIFS($AG$6:$AG$177,"&gt;"&amp;AG14)+COUNTIFS(AG$6:AG14,"="&amp;AG14)))</f>
        <v>30</v>
      </c>
      <c r="F14" s="19" t="s">
        <v>28</v>
      </c>
      <c r="G14" s="103">
        <f>IFERROR(IF(VLOOKUP(F14,Lookups!$A$2:$F$111,2,FALSE)="","",VLOOKUP(F14,Lookups!$A$2:$F$111,2,FALSE)),"")</f>
        <v>1616</v>
      </c>
      <c r="H14" s="103" t="str">
        <f>IFERROR(IF(VLOOKUP(F14,Lookups!$A$2:$F$111,3,FALSE)="","",VLOOKUP(F14,Lookups!$A$2:$F$111,3,FALSE)),"")</f>
        <v>AA</v>
      </c>
      <c r="I14" s="103" t="str">
        <f>IFERROR(IF(AF14=0,"",VLOOKUP(AF14,Lookups!$K$2:$L$6,2,TRUE)),"")</f>
        <v>AA</v>
      </c>
      <c r="J14" s="103" t="str">
        <f>IF(AD14&lt;Lookups!$I$5,"Y","N")</f>
        <v>Y</v>
      </c>
      <c r="K14" s="103" t="str">
        <f>IFERROR(IF(VLOOKUP(F14,Lookups!$A$2:$F$111,4,FALSE)="","",VLOOKUP(F14,Lookups!$A$2:$F$111,4,FALSE)),"")</f>
        <v>PCP</v>
      </c>
      <c r="L14" s="103" t="str">
        <f>IFERROR(IF(VLOOKUP(F14,Lookups!$A$2:$F$111,5,FALSE)="","",VLOOKUP(F14,Lookups!$A$2:$F$111,5,FALSE)),"")</f>
        <v>Carisbrooke</v>
      </c>
      <c r="M14" s="104" t="str">
        <f>IFERROR(IF(VLOOKUP(F14,Lookups!$A$2:$F$111,6,FALSE)="","",VLOOKUP(F14,Lookups!$A$2:$F$111,6,FALSE)),"")</f>
        <v>Carisbrooke Raptors</v>
      </c>
      <c r="N14" s="57">
        <f>IFERROR(IF(VLOOKUP(F14,Scores!$A$1:$I$99,2,FALSE)="","",VLOOKUP(F14,Scores!$A$1:$I$99,2,FALSE)),"")</f>
        <v>32</v>
      </c>
      <c r="O14" s="58" t="str">
        <f>IFERROR(IF(VLOOKUP(F14,Scores!$A$1:$I$99,3,FALSE)="","",VLOOKUP(F14,Scores!$A$1:$I$99,3,FALSE)),"")</f>
        <v/>
      </c>
      <c r="P14" s="58" t="str">
        <f>IFERROR(IF(VLOOKUP(F14,Scores!$A$1:$I$99,4,FALSE)="","",VLOOKUP(F14,Scores!$A$1:$I$99,4,FALSE)),"")</f>
        <v/>
      </c>
      <c r="Q14" s="58" t="str">
        <f>IFERROR(IF(VLOOKUP(F14,Scores!$A$1:$I$99,5,FALSE)="","",VLOOKUP(F14,Scores!$A$1:$I$99,5,FALSE)),"")</f>
        <v/>
      </c>
      <c r="R14" s="58">
        <f>IFERROR(IF(VLOOKUP(F14,Scores!$A$1:$I$99,6,FALSE)="","",VLOOKUP(F14,Scores!$A$1:$I$99,6,FALSE)),"")</f>
        <v>33</v>
      </c>
      <c r="S14" s="58">
        <f>IFERROR(IF(VLOOKUP(F14,Scores!$A$1:$I$99,7,FALSE)="","",VLOOKUP(F14,Scores!$A$1:$I$99,7,FALSE)),"")</f>
        <v>34</v>
      </c>
      <c r="T14" s="58" t="str">
        <f>IFERROR(IF(VLOOKUP(F14,Scores!$A$1:$I$99,8,FALSE)="","",VLOOKUP(F14,Scores!$A$1:$I$99,8,FALSE)),"")</f>
        <v/>
      </c>
      <c r="U14" s="60" t="str">
        <f>IFERROR(IF(VLOOKUP(F14,Scores!$A$1:$I$99,9,FALSE)="","",VLOOKUP(F14,Scores!$A$1:$I$99,9,FALSE)),"")</f>
        <v/>
      </c>
      <c r="V14" s="54">
        <f t="shared" si="17"/>
        <v>0.86486486486486491</v>
      </c>
      <c r="W14" s="55" t="str">
        <f t="shared" si="18"/>
        <v/>
      </c>
      <c r="X14" s="55" t="str">
        <f t="shared" si="19"/>
        <v/>
      </c>
      <c r="Y14" s="55" t="str">
        <f t="shared" si="20"/>
        <v/>
      </c>
      <c r="Z14" s="55">
        <f t="shared" si="21"/>
        <v>0.86842105263157898</v>
      </c>
      <c r="AA14" s="55">
        <f t="shared" si="22"/>
        <v>0.91891891891891897</v>
      </c>
      <c r="AB14" s="55" t="str">
        <f t="shared" si="23"/>
        <v/>
      </c>
      <c r="AC14" s="56" t="str">
        <f t="shared" si="24"/>
        <v/>
      </c>
      <c r="AD14" s="79">
        <f t="shared" si="25"/>
        <v>3</v>
      </c>
      <c r="AE14" s="59">
        <f t="shared" si="26"/>
        <v>0.88406827880512096</v>
      </c>
      <c r="AF14" s="55" cm="1">
        <f t="array" ref="AF14">IFERROR(IF(AD14&gt;Lookups!$I$5-1,AVERAGE(LARGE(V14:AC14,_xlfn.SEQUENCE(Lookups!$I$5))),AVERAGE(LARGE(V14:AC14,_xlfn.SEQUENCE(AD14)))),"")</f>
        <v>0.88406827880512096</v>
      </c>
      <c r="AG14" s="124">
        <f t="shared" si="27"/>
        <v>99</v>
      </c>
      <c r="AH14" s="78" t="str">
        <f>IF(AD14=Lookups!$I$5+1,LARGE(V14:AC14,5),"")</f>
        <v/>
      </c>
      <c r="AI14" s="78" t="str">
        <f>IF(AD14=Lookups!$I$5+2,LARGE(V14:AC14,6),"")</f>
        <v/>
      </c>
      <c r="AJ14" s="78"/>
      <c r="AK14" s="78"/>
      <c r="AL14" s="140">
        <f t="shared" si="11"/>
        <v>30</v>
      </c>
      <c r="AM14" s="134" t="str">
        <f>IF(OR(AD14=0,AD14=""),"",IF(COUNTIFS($AR$6:$AR$177,"&gt;"&amp;AR14)+COUNTIFS(AR$6:AR14,"="&amp;AR14)=0,"",COUNTIFS($AR$6:$AR$177,"&gt;"&amp;AR14)+COUNTIFS(AR$6:AR14,"="&amp;AR14)))</f>
        <v/>
      </c>
      <c r="AN14" s="134">
        <f>IFERROR(IF(OR(AD14=0,AD14=""),"",IF(COUNTIFS($AS$6:$AS$177,"&gt;"&amp;AS14)+COUNTIFS(AS$6:AS14,"="&amp;AS14)=0,"",COUNTIFS($AS$6:$AS$177,"&gt;"&amp;AS14)+COUNTIFS(AS$6:AS14,"="&amp;AS14)+$AM$5)),"")</f>
        <v>30</v>
      </c>
      <c r="AO14" s="134" t="str">
        <f>IFERROR(IF(OR(AD14=0,AD14=""),"",IF(COUNTIFS($AT$6:$AT$177,"&gt;"&amp;AT14)+COUNTIFS(AT$6:AT14,"="&amp;AT14)=0,"",COUNTIFS($AT$6:$AT$177,"&gt;"&amp;AT14)+COUNTIFS(AT$6:AT14,"="&amp;AT14)+$AN$5)),"")</f>
        <v/>
      </c>
      <c r="AP14" s="134" t="str">
        <f>IFERROR(IF(OR(AD14=0,AD14=""),"",IF(COUNTIFS($AU$6:$AU$177,"&gt;"&amp;AU14)+COUNTIFS(AU$6:AU14,"="&amp;AU14)=0,"",COUNTIFS($AU$6:$AU$177,"&gt;"&amp;AU14)+COUNTIFS(AU$6:AU14,"="&amp;AU14)+$AO$5)),"")</f>
        <v/>
      </c>
      <c r="AQ14" s="134" t="str">
        <f>IFERROR(IF(OR(AD14=0,AD14=""),"",IF(COUNTIFS($AV$6:$AV$177,"&gt;"&amp;AV14)+COUNTIFS(AV$6:AV14,"="&amp;AV14)=0,"",COUNTIFS($AV$6:$AV$177,"&gt;"&amp;AV14)+COUNTIFS(AV$6:AV14,"="&amp;AV14)+$AP$5)),"")</f>
        <v/>
      </c>
      <c r="AR14" s="78" t="str">
        <f t="shared" si="12"/>
        <v/>
      </c>
      <c r="AS14" s="78">
        <f t="shared" si="13"/>
        <v>0.88406827880512096</v>
      </c>
      <c r="AT14" s="78" t="str">
        <f t="shared" si="14"/>
        <v/>
      </c>
      <c r="AU14" s="78" t="str">
        <f t="shared" si="15"/>
        <v/>
      </c>
      <c r="AV14" s="78" t="str">
        <f t="shared" si="16"/>
        <v/>
      </c>
    </row>
    <row r="15" spans="1:54" ht="16.5" customHeight="1" x14ac:dyDescent="0.3">
      <c r="A15">
        <f>IF(AD15="","",COUNTIFS($H$6:$H$120,H15,$AF$6:$AF$120,"&gt;"&amp;AF15)+COUNTIFS(H15:$H$120,H15,AF15:$AF$120,AF15))</f>
        <v>5</v>
      </c>
      <c r="B15">
        <f>IF(AD15=0,"",IF(COUNTIFS($AE$6:$AE$177,"&gt;"&amp;AE15)+COUNTIFS(AE$6:AE15,"="&amp;AE15)=0,"",COUNTIFS($AE$6:$AE$177,"&gt;"&amp;AE15)+COUNTIFS(AE$6:AE15,"="&amp;AE15)))</f>
        <v>11</v>
      </c>
      <c r="C15">
        <f t="shared" si="10"/>
        <v>6</v>
      </c>
      <c r="D15">
        <f>IF(AG15=0,"",IF(COUNTIFS($AG$6:$AG$177,"&gt;"&amp;AG15)+COUNTIFS(AG$6:AG15,"="&amp;AG15)=0,"",COUNTIFS($AG$6:$AG$177,"&gt;"&amp;AG15)+COUNTIFS(AG$6:AG15,"="&amp;AG15)))</f>
        <v>4</v>
      </c>
      <c r="F15" s="19" t="s">
        <v>35</v>
      </c>
      <c r="G15" s="103">
        <f>IFERROR(IF(VLOOKUP(F15,Lookups!$A$2:$F$111,2,FALSE)="","",VLOOKUP(F15,Lookups!$A$2:$F$111,2,FALSE)),"")</f>
        <v>1691</v>
      </c>
      <c r="H15" s="103" t="str">
        <f>IFERROR(IF(VLOOKUP(F15,Lookups!$A$2:$F$111,3,FALSE)="","",VLOOKUP(F15,Lookups!$A$2:$F$111,3,FALSE)),"")</f>
        <v>AA</v>
      </c>
      <c r="I15" s="103" t="str">
        <f>IFERROR(IF(AF15=0,"",VLOOKUP(AF15,Lookups!$K$2:$L$6,2,TRUE)),"")</f>
        <v>AA</v>
      </c>
      <c r="J15" s="103" t="str">
        <f>IF(AD15&lt;Lookups!$I$5,"Y","N")</f>
        <v>N</v>
      </c>
      <c r="K15" s="103" t="str">
        <f>IFERROR(IF(VLOOKUP(F15,Lookups!$A$2:$F$111,4,FALSE)="","",VLOOKUP(F15,Lookups!$A$2:$F$111,4,FALSE)),"")</f>
        <v>PCP</v>
      </c>
      <c r="L15" s="103" t="str">
        <f>IFERROR(IF(VLOOKUP(F15,Lookups!$A$2:$F$111,5,FALSE)="","",VLOOKUP(F15,Lookups!$A$2:$F$111,5,FALSE)),"")</f>
        <v>Frobury</v>
      </c>
      <c r="M15" s="104" t="str">
        <f>IFERROR(IF(VLOOKUP(F15,Lookups!$A$2:$F$111,6,FALSE)="","",VLOOKUP(F15,Lookups!$A$2:$F$111,6,FALSE)),"")</f>
        <v>Frobury</v>
      </c>
      <c r="N15" s="57">
        <f>IFERROR(IF(VLOOKUP(F15,Scores!$A$1:$I$99,2,FALSE)="","",VLOOKUP(F15,Scores!$A$1:$I$99,2,FALSE)),"")</f>
        <v>29</v>
      </c>
      <c r="O15" s="58">
        <f>IFERROR(IF(VLOOKUP(F15,Scores!$A$1:$I$99,3,FALSE)="","",VLOOKUP(F15,Scores!$A$1:$I$99,3,FALSE)),"")</f>
        <v>29</v>
      </c>
      <c r="P15" s="58">
        <f>IFERROR(IF(VLOOKUP(F15,Scores!$A$1:$I$99,4,FALSE)="","",VLOOKUP(F15,Scores!$A$1:$I$99,4,FALSE)),"")</f>
        <v>33</v>
      </c>
      <c r="Q15" s="58">
        <f>IFERROR(IF(VLOOKUP(F15,Scores!$A$1:$I$99,5,FALSE)="","",VLOOKUP(F15,Scores!$A$1:$I$99,5,FALSE)),"")</f>
        <v>34</v>
      </c>
      <c r="R15" s="58">
        <f>IFERROR(IF(VLOOKUP(F15,Scores!$A$1:$I$99,6,FALSE)="","",VLOOKUP(F15,Scores!$A$1:$I$99,6,FALSE)),"")</f>
        <v>31</v>
      </c>
      <c r="S15" s="58">
        <f>IFERROR(IF(VLOOKUP(F15,Scores!$A$1:$I$99,7,FALSE)="","",VLOOKUP(F15,Scores!$A$1:$I$99,7,FALSE)),"")</f>
        <v>35</v>
      </c>
      <c r="T15" s="58" t="str">
        <f>IFERROR(IF(VLOOKUP(F15,Scores!$A$1:$I$99,8,FALSE)="","",VLOOKUP(F15,Scores!$A$1:$I$99,8,FALSE)),"")</f>
        <v/>
      </c>
      <c r="U15" s="60" t="str">
        <f>IFERROR(IF(VLOOKUP(F15,Scores!$A$1:$I$99,9,FALSE)="","",VLOOKUP(F15,Scores!$A$1:$I$99,9,FALSE)),"")</f>
        <v/>
      </c>
      <c r="V15" s="54">
        <f t="shared" si="17"/>
        <v>0.78378378378378377</v>
      </c>
      <c r="W15" s="55">
        <f t="shared" si="18"/>
        <v>0.93548387096774188</v>
      </c>
      <c r="X15" s="55">
        <f t="shared" si="19"/>
        <v>0.89189189189189189</v>
      </c>
      <c r="Y15" s="55">
        <f t="shared" si="20"/>
        <v>0.94444444444444442</v>
      </c>
      <c r="Z15" s="55">
        <f t="shared" si="21"/>
        <v>0.81578947368421051</v>
      </c>
      <c r="AA15" s="55">
        <f t="shared" si="22"/>
        <v>0.94594594594594594</v>
      </c>
      <c r="AB15" s="55" t="str">
        <f t="shared" si="23"/>
        <v/>
      </c>
      <c r="AC15" s="56" t="str">
        <f t="shared" si="24"/>
        <v/>
      </c>
      <c r="AD15" s="79">
        <f t="shared" si="25"/>
        <v>6</v>
      </c>
      <c r="AE15" s="59">
        <f t="shared" si="26"/>
        <v>0.88622323511966972</v>
      </c>
      <c r="AF15" s="55" cm="1">
        <f t="array" ref="AF15">IFERROR(IF(AD15&gt;Lookups!$I$5-1,AVERAGE(LARGE(V15:AC15,_xlfn.SEQUENCE(Lookups!$I$5))),AVERAGE(LARGE(V15:AC15,_xlfn.SEQUENCE(AD15)))),"")</f>
        <v>0.92944153831250609</v>
      </c>
      <c r="AG15" s="124">
        <f t="shared" si="27"/>
        <v>191</v>
      </c>
      <c r="AH15" s="78" t="str">
        <f>IF(AD15=Lookups!$I$5+1,LARGE(V15:AC15,5),"")</f>
        <v/>
      </c>
      <c r="AI15" s="78">
        <f>IF(AD15=Lookups!$I$5+2,LARGE(V15:AC15,6),"")</f>
        <v>0.78378378378378377</v>
      </c>
      <c r="AJ15" s="78"/>
      <c r="AK15" s="78"/>
      <c r="AL15" s="140">
        <f t="shared" si="11"/>
        <v>6</v>
      </c>
      <c r="AM15" s="134">
        <f>IF(OR(AD15=0,AD15=""),"",IF(COUNTIFS($AR$6:$AR$177,"&gt;"&amp;AR15)+COUNTIFS(AR$6:AR15,"="&amp;AR15)=0,"",COUNTIFS($AR$6:$AR$177,"&gt;"&amp;AR15)+COUNTIFS(AR$6:AR15,"="&amp;AR15)))</f>
        <v>6</v>
      </c>
      <c r="AN15" s="134" t="str">
        <f>IFERROR(IF(OR(AD15=0,AD15=""),"",IF(COUNTIFS($AS$6:$AS$177,"&gt;"&amp;AS15)+COUNTIFS(AS$6:AS15,"="&amp;AS15)=0,"",COUNTIFS($AS$6:$AS$177,"&gt;"&amp;AS15)+COUNTIFS(AS$6:AS15,"="&amp;AS15)+$AM$5)),"")</f>
        <v/>
      </c>
      <c r="AO15" s="134" t="str">
        <f>IFERROR(IF(OR(AD15=0,AD15=""),"",IF(COUNTIFS($AT$6:$AT$177,"&gt;"&amp;AT15)+COUNTIFS(AT$6:AT15,"="&amp;AT15)=0,"",COUNTIFS($AT$6:$AT$177,"&gt;"&amp;AT15)+COUNTIFS(AT$6:AT15,"="&amp;AT15)+$AN$5)),"")</f>
        <v/>
      </c>
      <c r="AP15" s="134" t="str">
        <f>IFERROR(IF(OR(AD15=0,AD15=""),"",IF(COUNTIFS($AU$6:$AU$177,"&gt;"&amp;AU15)+COUNTIFS(AU$6:AU15,"="&amp;AU15)=0,"",COUNTIFS($AU$6:$AU$177,"&gt;"&amp;AU15)+COUNTIFS(AU$6:AU15,"="&amp;AU15)+$AO$5)),"")</f>
        <v/>
      </c>
      <c r="AQ15" s="134" t="str">
        <f>IFERROR(IF(OR(AD15=0,AD15=""),"",IF(COUNTIFS($AV$6:$AV$177,"&gt;"&amp;AV15)+COUNTIFS(AV$6:AV15,"="&amp;AV15)=0,"",COUNTIFS($AV$6:$AV$177,"&gt;"&amp;AV15)+COUNTIFS(AV$6:AV15,"="&amp;AV15)+$AP$5)),"")</f>
        <v/>
      </c>
      <c r="AR15" s="78">
        <f t="shared" si="12"/>
        <v>0.92944153831250609</v>
      </c>
      <c r="AS15" s="78" t="str">
        <f t="shared" si="13"/>
        <v/>
      </c>
      <c r="AT15" s="78" t="str">
        <f t="shared" si="14"/>
        <v/>
      </c>
      <c r="AU15" s="78" t="str">
        <f t="shared" si="15"/>
        <v/>
      </c>
      <c r="AV15" s="78" t="str">
        <f t="shared" si="16"/>
        <v/>
      </c>
    </row>
    <row r="16" spans="1:54" ht="16.5" customHeight="1" x14ac:dyDescent="0.3">
      <c r="A16">
        <f>IF(AD16="","",COUNTIFS($H$6:$H$120,H16,$AF$6:$AF$120,"&gt;"&amp;AF16)+COUNTIFS(H16:$H$120,H16,AF16:$AF$120,AF16))</f>
        <v>7</v>
      </c>
      <c r="B16">
        <f>IF(AD16=0,"",IF(COUNTIFS($AE$6:$AE$177,"&gt;"&amp;AE16)+COUNTIFS(AE$6:AE16,"="&amp;AE16)=0,"",COUNTIFS($AE$6:$AE$177,"&gt;"&amp;AE16)+COUNTIFS(AE$6:AE16,"="&amp;AE16)))</f>
        <v>9</v>
      </c>
      <c r="C16">
        <f t="shared" si="10"/>
        <v>8</v>
      </c>
      <c r="D16">
        <f>IF(AG16=0,"",IF(COUNTIFS($AG$6:$AG$177,"&gt;"&amp;AG16)+COUNTIFS(AG$6:AG16,"="&amp;AG16)=0,"",COUNTIFS($AG$6:$AG$177,"&gt;"&amp;AG16)+COUNTIFS(AG$6:AG16,"="&amp;AG16)))</f>
        <v>10</v>
      </c>
      <c r="F16" s="19" t="s">
        <v>25</v>
      </c>
      <c r="G16" s="103">
        <f>IFERROR(IF(VLOOKUP(F16,Lookups!$A$2:$F$111,2,FALSE)="","",VLOOKUP(F16,Lookups!$A$2:$F$111,2,FALSE)),"")</f>
        <v>1748</v>
      </c>
      <c r="H16" s="103" t="str">
        <f>IFERROR(IF(VLOOKUP(F16,Lookups!$A$2:$F$111,3,FALSE)="","",VLOOKUP(F16,Lookups!$A$2:$F$111,3,FALSE)),"")</f>
        <v>AA</v>
      </c>
      <c r="I16" s="103" t="str">
        <f>IFERROR(IF(AF16=0,"",VLOOKUP(AF16,Lookups!$K$2:$L$6,2,TRUE)),"")</f>
        <v>AA</v>
      </c>
      <c r="J16" s="103" t="str">
        <f>IF(AD16&lt;Lookups!$I$5,"Y","N")</f>
        <v>N</v>
      </c>
      <c r="K16" s="103" t="str">
        <f>IFERROR(IF(VLOOKUP(F16,Lookups!$A$2:$F$111,4,FALSE)="","",VLOOKUP(F16,Lookups!$A$2:$F$111,4,FALSE)),"")</f>
        <v>PCP</v>
      </c>
      <c r="L16" s="103" t="str">
        <f>IFERROR(IF(VLOOKUP(F16,Lookups!$A$2:$F$111,5,FALSE)="","",VLOOKUP(F16,Lookups!$A$2:$F$111,5,FALSE)),"")</f>
        <v>Carisbrooke</v>
      </c>
      <c r="M16" s="104" t="str">
        <f>IFERROR(IF(VLOOKUP(F16,Lookups!$A$2:$F$111,6,FALSE)="","",VLOOKUP(F16,Lookups!$A$2:$F$111,6,FALSE)),"")</f>
        <v>Carisbrooke TRex's</v>
      </c>
      <c r="N16" s="57" t="str">
        <f>IFERROR(IF(VLOOKUP(F16,Scores!$A$1:$I$99,2,FALSE)="","",VLOOKUP(F16,Scores!$A$1:$I$99,2,FALSE)),"")</f>
        <v/>
      </c>
      <c r="O16" s="58">
        <f>IFERROR(IF(VLOOKUP(F16,Scores!$A$1:$I$99,3,FALSE)="","",VLOOKUP(F16,Scores!$A$1:$I$99,3,FALSE)),"")</f>
        <v>28</v>
      </c>
      <c r="P16" s="58">
        <f>IFERROR(IF(VLOOKUP(F16,Scores!$A$1:$I$99,4,FALSE)="","",VLOOKUP(F16,Scores!$A$1:$I$99,4,FALSE)),"")</f>
        <v>34</v>
      </c>
      <c r="Q16" s="58">
        <f>IFERROR(IF(VLOOKUP(F16,Scores!$A$1:$I$99,5,FALSE)="","",VLOOKUP(F16,Scores!$A$1:$I$99,5,FALSE)),"")</f>
        <v>30</v>
      </c>
      <c r="R16" s="58">
        <f>IFERROR(IF(VLOOKUP(F16,Scores!$A$1:$I$99,6,FALSE)="","",VLOOKUP(F16,Scores!$A$1:$I$99,6,FALSE)),"")</f>
        <v>35</v>
      </c>
      <c r="S16" s="58">
        <f>IFERROR(IF(VLOOKUP(F16,Scores!$A$1:$I$99,7,FALSE)="","",VLOOKUP(F16,Scores!$A$1:$I$99,7,FALSE)),"")</f>
        <v>35</v>
      </c>
      <c r="T16" s="58" t="str">
        <f>IFERROR(IF(VLOOKUP(F16,Scores!$A$1:$I$99,8,FALSE)="","",VLOOKUP(F16,Scores!$A$1:$I$99,8,FALSE)),"")</f>
        <v/>
      </c>
      <c r="U16" s="60" t="str">
        <f>IFERROR(IF(VLOOKUP(F16,Scores!$A$1:$I$99,9,FALSE)="","",VLOOKUP(F16,Scores!$A$1:$I$99,9,FALSE)),"")</f>
        <v/>
      </c>
      <c r="V16" s="54" t="str">
        <f t="shared" si="17"/>
        <v/>
      </c>
      <c r="W16" s="55">
        <f t="shared" si="18"/>
        <v>0.90322580645161288</v>
      </c>
      <c r="X16" s="55">
        <f t="shared" si="19"/>
        <v>0.91891891891891897</v>
      </c>
      <c r="Y16" s="55">
        <f t="shared" si="20"/>
        <v>0.83333333333333337</v>
      </c>
      <c r="Z16" s="55">
        <f t="shared" si="21"/>
        <v>0.92105263157894735</v>
      </c>
      <c r="AA16" s="55">
        <f t="shared" si="22"/>
        <v>0.94594594594594594</v>
      </c>
      <c r="AB16" s="55" t="str">
        <f t="shared" si="23"/>
        <v/>
      </c>
      <c r="AC16" s="56" t="str">
        <f t="shared" si="24"/>
        <v/>
      </c>
      <c r="AD16" s="79">
        <f t="shared" si="25"/>
        <v>5</v>
      </c>
      <c r="AE16" s="59">
        <f t="shared" si="26"/>
        <v>0.90449532724575177</v>
      </c>
      <c r="AF16" s="55" cm="1">
        <f t="array" ref="AF16">IFERROR(IF(AD16&gt;Lookups!$I$5-1,AVERAGE(LARGE(V16:AC16,_xlfn.SEQUENCE(Lookups!$I$5))),AVERAGE(LARGE(V16:AC16,_xlfn.SEQUENCE(AD16)))),"")</f>
        <v>0.92228582572385631</v>
      </c>
      <c r="AG16" s="124">
        <f t="shared" si="27"/>
        <v>162</v>
      </c>
      <c r="AH16" s="78">
        <f>IF(AD16=Lookups!$I$5+1,LARGE(V16:AC16,5),"")</f>
        <v>0.83333333333333337</v>
      </c>
      <c r="AI16" s="78" t="str">
        <f>IF(AD16=Lookups!$I$5+2,LARGE(V16:AC16,6),"")</f>
        <v/>
      </c>
      <c r="AJ16" s="78"/>
      <c r="AK16" s="78"/>
      <c r="AL16" s="140">
        <f t="shared" si="11"/>
        <v>8</v>
      </c>
      <c r="AM16" s="134">
        <f>IF(OR(AD16=0,AD16=""),"",IF(COUNTIFS($AR$6:$AR$177,"&gt;"&amp;AR16)+COUNTIFS(AR$6:AR16,"="&amp;AR16)=0,"",COUNTIFS($AR$6:$AR$177,"&gt;"&amp;AR16)+COUNTIFS(AR$6:AR16,"="&amp;AR16)))</f>
        <v>8</v>
      </c>
      <c r="AN16" s="134" t="str">
        <f>IFERROR(IF(OR(AD16=0,AD16=""),"",IF(COUNTIFS($AS$6:$AS$177,"&gt;"&amp;AS16)+COUNTIFS(AS$6:AS16,"="&amp;AS16)=0,"",COUNTIFS($AS$6:$AS$177,"&gt;"&amp;AS16)+COUNTIFS(AS$6:AS16,"="&amp;AS16)+$AM$5)),"")</f>
        <v/>
      </c>
      <c r="AO16" s="134" t="str">
        <f>IFERROR(IF(OR(AD16=0,AD16=""),"",IF(COUNTIFS($AT$6:$AT$177,"&gt;"&amp;AT16)+COUNTIFS(AT$6:AT16,"="&amp;AT16)=0,"",COUNTIFS($AT$6:$AT$177,"&gt;"&amp;AT16)+COUNTIFS(AT$6:AT16,"="&amp;AT16)+$AN$5)),"")</f>
        <v/>
      </c>
      <c r="AP16" s="134" t="str">
        <f>IFERROR(IF(OR(AD16=0,AD16=""),"",IF(COUNTIFS($AU$6:$AU$177,"&gt;"&amp;AU16)+COUNTIFS(AU$6:AU16,"="&amp;AU16)=0,"",COUNTIFS($AU$6:$AU$177,"&gt;"&amp;AU16)+COUNTIFS(AU$6:AU16,"="&amp;AU16)+$AO$5)),"")</f>
        <v/>
      </c>
      <c r="AQ16" s="134" t="str">
        <f>IFERROR(IF(OR(AD16=0,AD16=""),"",IF(COUNTIFS($AV$6:$AV$177,"&gt;"&amp;AV16)+COUNTIFS(AV$6:AV16,"="&amp;AV16)=0,"",COUNTIFS($AV$6:$AV$177,"&gt;"&amp;AV16)+COUNTIFS(AV$6:AV16,"="&amp;AV16)+$AP$5)),"")</f>
        <v/>
      </c>
      <c r="AR16" s="78">
        <f t="shared" si="12"/>
        <v>0.92228582572385631</v>
      </c>
      <c r="AS16" s="78" t="str">
        <f t="shared" si="13"/>
        <v/>
      </c>
      <c r="AT16" s="78" t="str">
        <f t="shared" si="14"/>
        <v/>
      </c>
      <c r="AU16" s="78" t="str">
        <f t="shared" si="15"/>
        <v/>
      </c>
      <c r="AV16" s="78" t="str">
        <f t="shared" si="16"/>
        <v/>
      </c>
    </row>
    <row r="17" spans="1:48" ht="16.5" customHeight="1" x14ac:dyDescent="0.3">
      <c r="A17">
        <f>IF(AD17="","",COUNTIFS($H$6:$H$120,H17,$AF$6:$AF$120,"&gt;"&amp;AF17)+COUNTIFS(H17:$H$120,H17,AF17:$AF$120,AF17))</f>
        <v>11</v>
      </c>
      <c r="B17">
        <f>IF(AD17=0,"",IF(COUNTIFS($AE$6:$AE$177,"&gt;"&amp;AE17)+COUNTIFS(AE$6:AE17,"="&amp;AE17)=0,"",COUNTIFS($AE$6:$AE$177,"&gt;"&amp;AE17)+COUNTIFS(AE$6:AE17,"="&amp;AE17)))</f>
        <v>14</v>
      </c>
      <c r="C17">
        <f t="shared" si="10"/>
        <v>31</v>
      </c>
      <c r="D17">
        <f>IF(AG17=0,"",IF(COUNTIFS($AG$6:$AG$177,"&gt;"&amp;AG17)+COUNTIFS(AG$6:AG17,"="&amp;AG17)=0,"",COUNTIFS($AG$6:$AG$177,"&gt;"&amp;AG17)+COUNTIFS(AG$6:AG17,"="&amp;AG17)))</f>
        <v>31</v>
      </c>
      <c r="F17" s="19" t="s">
        <v>81</v>
      </c>
      <c r="G17" s="103">
        <f>IFERROR(IF(VLOOKUP(F17,Lookups!$A$2:$F$111,2,FALSE)="","",VLOOKUP(F17,Lookups!$A$2:$F$111,2,FALSE)),"")</f>
        <v>1544</v>
      </c>
      <c r="H17" s="103" t="str">
        <f>IFERROR(IF(VLOOKUP(F17,Lookups!$A$2:$F$111,3,FALSE)="","",VLOOKUP(F17,Lookups!$A$2:$F$111,3,FALSE)),"")</f>
        <v>AA</v>
      </c>
      <c r="I17" s="103" t="str">
        <f>IFERROR(IF(AF17=0,"",VLOOKUP(AF17,Lookups!$K$2:$L$6,2,TRUE)),"")</f>
        <v>AA</v>
      </c>
      <c r="J17" s="103" t="str">
        <f>IF(AD17&lt;Lookups!$I$5,"Y","N")</f>
        <v>Y</v>
      </c>
      <c r="K17" s="103" t="str">
        <f>IFERROR(IF(VLOOKUP(F17,Lookups!$A$2:$F$111,4,FALSE)="","",VLOOKUP(F17,Lookups!$A$2:$F$111,4,FALSE)),"")</f>
        <v>PCP</v>
      </c>
      <c r="L17" s="103" t="str">
        <f>IFERROR(IF(VLOOKUP(F17,Lookups!$A$2:$F$111,5,FALSE)="","",VLOOKUP(F17,Lookups!$A$2:$F$111,5,FALSE)),"")</f>
        <v>Buccaneers</v>
      </c>
      <c r="M17" s="104" t="str">
        <f>IFERROR(IF(VLOOKUP(F17,Lookups!$A$2:$F$111,6,FALSE)="","",VLOOKUP(F17,Lookups!$A$2:$F$111,6,FALSE)),"")</f>
        <v/>
      </c>
      <c r="N17" s="57" t="str">
        <f>IFERROR(IF(VLOOKUP(F17,Scores!$A$1:$I$99,2,FALSE)="","",VLOOKUP(F17,Scores!$A$1:$I$99,2,FALSE)),"")</f>
        <v/>
      </c>
      <c r="O17" s="58" t="str">
        <f>IFERROR(IF(VLOOKUP(F17,Scores!$A$1:$I$99,3,FALSE)="","",VLOOKUP(F17,Scores!$A$1:$I$99,3,FALSE)),"")</f>
        <v/>
      </c>
      <c r="P17" s="58" t="str">
        <f>IFERROR(IF(VLOOKUP(F17,Scores!$A$1:$I$99,4,FALSE)="","",VLOOKUP(F17,Scores!$A$1:$I$99,4,FALSE)),"")</f>
        <v/>
      </c>
      <c r="Q17" s="58">
        <f>IFERROR(IF(VLOOKUP(F17,Scores!$A$1:$I$99,5,FALSE)="","",VLOOKUP(F17,Scores!$A$1:$I$99,5,FALSE)),"")</f>
        <v>29</v>
      </c>
      <c r="R17" s="58">
        <f>IFERROR(IF(VLOOKUP(F17,Scores!$A$1:$I$99,6,FALSE)="","",VLOOKUP(F17,Scores!$A$1:$I$99,6,FALSE)),"")</f>
        <v>32</v>
      </c>
      <c r="S17" s="58">
        <f>IFERROR(IF(VLOOKUP(F17,Scores!$A$1:$I$99,7,FALSE)="","",VLOOKUP(F17,Scores!$A$1:$I$99,7,FALSE)),"")</f>
        <v>36</v>
      </c>
      <c r="T17" s="58" t="str">
        <f>IFERROR(IF(VLOOKUP(F17,Scores!$A$1:$I$99,8,FALSE)="","",VLOOKUP(F17,Scores!$A$1:$I$99,8,FALSE)),"")</f>
        <v/>
      </c>
      <c r="U17" s="60" t="str">
        <f>IFERROR(IF(VLOOKUP(F17,Scores!$A$1:$I$99,9,FALSE)="","",VLOOKUP(F17,Scores!$A$1:$I$99,9,FALSE)),"")</f>
        <v/>
      </c>
      <c r="V17" s="54" t="str">
        <f t="shared" si="17"/>
        <v/>
      </c>
      <c r="W17" s="55" t="str">
        <f t="shared" si="18"/>
        <v/>
      </c>
      <c r="X17" s="55" t="str">
        <f t="shared" si="19"/>
        <v/>
      </c>
      <c r="Y17" s="55">
        <f t="shared" si="20"/>
        <v>0.80555555555555558</v>
      </c>
      <c r="Z17" s="55">
        <f t="shared" si="21"/>
        <v>0.84210526315789469</v>
      </c>
      <c r="AA17" s="55">
        <f t="shared" si="22"/>
        <v>0.97297297297297303</v>
      </c>
      <c r="AB17" s="55" t="str">
        <f t="shared" si="23"/>
        <v/>
      </c>
      <c r="AC17" s="56" t="str">
        <f t="shared" si="24"/>
        <v/>
      </c>
      <c r="AD17" s="79">
        <f t="shared" si="25"/>
        <v>3</v>
      </c>
      <c r="AE17" s="59">
        <f t="shared" si="26"/>
        <v>0.87354459722880773</v>
      </c>
      <c r="AF17" s="55" cm="1">
        <f t="array" ref="AF17">IFERROR(IF(AD17&gt;Lookups!$I$5-1,AVERAGE(LARGE(V17:AC17,_xlfn.SEQUENCE(Lookups!$I$5))),AVERAGE(LARGE(V17:AC17,_xlfn.SEQUENCE(AD17)))),"")</f>
        <v>0.87354459722880773</v>
      </c>
      <c r="AG17" s="124">
        <f t="shared" si="27"/>
        <v>97</v>
      </c>
      <c r="AH17" s="78" t="str">
        <f>IF(AD17=Lookups!$I$5+1,LARGE(V17:AC17,5),"")</f>
        <v/>
      </c>
      <c r="AI17" s="78" t="str">
        <f>IF(AD17=Lookups!$I$5+2,LARGE(V17:AC17,6),"")</f>
        <v/>
      </c>
      <c r="AJ17" s="78"/>
      <c r="AK17" s="78"/>
      <c r="AL17" s="140">
        <f t="shared" si="11"/>
        <v>31</v>
      </c>
      <c r="AM17" s="134" t="str">
        <f>IF(OR(AD17=0,AD17=""),"",IF(COUNTIFS($AR$6:$AR$177,"&gt;"&amp;AR17)+COUNTIFS(AR$6:AR17,"="&amp;AR17)=0,"",COUNTIFS($AR$6:$AR$177,"&gt;"&amp;AR17)+COUNTIFS(AR$6:AR17,"="&amp;AR17)))</f>
        <v/>
      </c>
      <c r="AN17" s="134">
        <f>IFERROR(IF(OR(AD17=0,AD17=""),"",IF(COUNTIFS($AS$6:$AS$177,"&gt;"&amp;AS17)+COUNTIFS(AS$6:AS17,"="&amp;AS17)=0,"",COUNTIFS($AS$6:$AS$177,"&gt;"&amp;AS17)+COUNTIFS(AS$6:AS17,"="&amp;AS17)+$AM$5)),"")</f>
        <v>31</v>
      </c>
      <c r="AO17" s="134" t="str">
        <f>IFERROR(IF(OR(AD17=0,AD17=""),"",IF(COUNTIFS($AT$6:$AT$177,"&gt;"&amp;AT17)+COUNTIFS(AT$6:AT17,"="&amp;AT17)=0,"",COUNTIFS($AT$6:$AT$177,"&gt;"&amp;AT17)+COUNTIFS(AT$6:AT17,"="&amp;AT17)+$AN$5)),"")</f>
        <v/>
      </c>
      <c r="AP17" s="134" t="str">
        <f>IFERROR(IF(OR(AD17=0,AD17=""),"",IF(COUNTIFS($AU$6:$AU$177,"&gt;"&amp;AU17)+COUNTIFS(AU$6:AU17,"="&amp;AU17)=0,"",COUNTIFS($AU$6:$AU$177,"&gt;"&amp;AU17)+COUNTIFS(AU$6:AU17,"="&amp;AU17)+$AO$5)),"")</f>
        <v/>
      </c>
      <c r="AQ17" s="134" t="str">
        <f>IFERROR(IF(OR(AD17=0,AD17=""),"",IF(COUNTIFS($AV$6:$AV$177,"&gt;"&amp;AV17)+COUNTIFS(AV$6:AV17,"="&amp;AV17)=0,"",COUNTIFS($AV$6:$AV$177,"&gt;"&amp;AV17)+COUNTIFS(AV$6:AV17,"="&amp;AV17)+$AP$5)),"")</f>
        <v/>
      </c>
      <c r="AR17" s="78" t="str">
        <f t="shared" si="12"/>
        <v/>
      </c>
      <c r="AS17" s="78">
        <f t="shared" si="13"/>
        <v>0.87354459722880773</v>
      </c>
      <c r="AT17" s="78" t="str">
        <f t="shared" si="14"/>
        <v/>
      </c>
      <c r="AU17" s="78" t="str">
        <f t="shared" si="15"/>
        <v/>
      </c>
      <c r="AV17" s="78" t="str">
        <f t="shared" si="16"/>
        <v/>
      </c>
    </row>
    <row r="18" spans="1:48" ht="16.5" customHeight="1" x14ac:dyDescent="0.3">
      <c r="A18">
        <f>IF(AD18="","",COUNTIFS($H$6:$H$120,H18,$AF$6:$AF$120,"&gt;"&amp;AF18)+COUNTIFS(H18:$H$120,H18,AF18:$AF$120,AF18))</f>
        <v>8</v>
      </c>
      <c r="B18">
        <f>IF(AD18=0,"",IF(COUNTIFS($AE$6:$AE$177,"&gt;"&amp;AE18)+COUNTIFS(AE$6:AE18,"="&amp;AE18)=0,"",COUNTIFS($AE$6:$AE$177,"&gt;"&amp;AE18)+COUNTIFS(AE$6:AE18,"="&amp;AE18)))</f>
        <v>6</v>
      </c>
      <c r="C18">
        <f t="shared" si="10"/>
        <v>29</v>
      </c>
      <c r="D18">
        <f>IF(AG18=0,"",IF(COUNTIFS($AG$6:$AG$177,"&gt;"&amp;AG18)+COUNTIFS(AG$6:AG18,"="&amp;AG18)=0,"",COUNTIFS($AG$6:$AG$177,"&gt;"&amp;AG18)+COUNTIFS(AG$6:AG18,"="&amp;AG18)))</f>
        <v>28</v>
      </c>
      <c r="F18" s="19" t="s">
        <v>206</v>
      </c>
      <c r="G18" s="103" t="str">
        <f>IFERROR(IF(VLOOKUP(F18,Lookups!$A$2:$F$111,2,FALSE)="","",VLOOKUP(F18,Lookups!$A$2:$F$111,2,FALSE)),"")</f>
        <v/>
      </c>
      <c r="H18" s="103" t="str">
        <f>IFERROR(IF(VLOOKUP(F18,Lookups!$A$2:$F$111,3,FALSE)="","",VLOOKUP(F18,Lookups!$A$2:$F$111,3,FALSE)),"")</f>
        <v>AA</v>
      </c>
      <c r="I18" s="103" t="str">
        <f>IFERROR(IF(AF18=0,"",VLOOKUP(AF18,Lookups!$K$2:$L$6,2,TRUE)),"")</f>
        <v>AA</v>
      </c>
      <c r="J18" s="103" t="str">
        <f>IF(AD18&lt;Lookups!$I$5,"Y","N")</f>
        <v>Y</v>
      </c>
      <c r="K18" s="103" t="str">
        <f>IFERROR(IF(VLOOKUP(F18,Lookups!$A$2:$F$111,4,FALSE)="","",VLOOKUP(F18,Lookups!$A$2:$F$111,4,FALSE)),"")</f>
        <v>Piston</v>
      </c>
      <c r="L18" s="103" t="str">
        <f>IFERROR(IF(VLOOKUP(F18,Lookups!$A$2:$F$111,5,FALSE)="","",VLOOKUP(F18,Lookups!$A$2:$F$111,5,FALSE)),"")</f>
        <v>Weston Warrior</v>
      </c>
      <c r="M18" s="104" t="str">
        <f>IFERROR(IF(VLOOKUP(F18,Lookups!$A$2:$F$111,6,FALSE)="","",VLOOKUP(F18,Lookups!$A$2:$F$111,6,FALSE)),"")</f>
        <v/>
      </c>
      <c r="N18" s="57" t="str">
        <f>IFERROR(IF(VLOOKUP(F18,Scores!$A$1:$I$99,2,FALSE)="","",VLOOKUP(F18,Scores!$A$1:$I$99,2,FALSE)),"")</f>
        <v/>
      </c>
      <c r="O18" s="58" t="str">
        <f>IFERROR(IF(VLOOKUP(F18,Scores!$A$1:$I$99,3,FALSE)="","",VLOOKUP(F18,Scores!$A$1:$I$99,3,FALSE)),"")</f>
        <v/>
      </c>
      <c r="P18" s="58" t="str">
        <f>IFERROR(IF(VLOOKUP(F18,Scores!$A$1:$I$99,4,FALSE)="","",VLOOKUP(F18,Scores!$A$1:$I$99,4,FALSE)),"")</f>
        <v/>
      </c>
      <c r="Q18" s="58">
        <f>IFERROR(IF(VLOOKUP(F18,Scores!$A$1:$I$99,5,FALSE)="","",VLOOKUP(F18,Scores!$A$1:$I$99,5,FALSE)),"")</f>
        <v>33</v>
      </c>
      <c r="R18" s="58">
        <f>IFERROR(IF(VLOOKUP(F18,Scores!$A$1:$I$99,6,FALSE)="","",VLOOKUP(F18,Scores!$A$1:$I$99,6,FALSE)),"")</f>
        <v>34</v>
      </c>
      <c r="S18" s="58">
        <f>IFERROR(IF(VLOOKUP(F18,Scores!$A$1:$I$99,7,FALSE)="","",VLOOKUP(F18,Scores!$A$1:$I$99,7,FALSE)),"")</f>
        <v>35</v>
      </c>
      <c r="T18" s="58" t="str">
        <f>IFERROR(IF(VLOOKUP(F18,Scores!$A$1:$I$99,8,FALSE)="","",VLOOKUP(F18,Scores!$A$1:$I$99,8,FALSE)),"")</f>
        <v/>
      </c>
      <c r="U18" s="60" t="str">
        <f>IFERROR(IF(VLOOKUP(F18,Scores!$A$1:$I$99,9,FALSE)="","",VLOOKUP(F18,Scores!$A$1:$I$99,9,FALSE)),"")</f>
        <v/>
      </c>
      <c r="V18" s="54" t="str">
        <f t="shared" si="17"/>
        <v/>
      </c>
      <c r="W18" s="55" t="str">
        <f t="shared" si="18"/>
        <v/>
      </c>
      <c r="X18" s="55" t="str">
        <f t="shared" si="19"/>
        <v/>
      </c>
      <c r="Y18" s="55">
        <f t="shared" si="20"/>
        <v>0.91666666666666663</v>
      </c>
      <c r="Z18" s="55">
        <f t="shared" si="21"/>
        <v>0.89473684210526316</v>
      </c>
      <c r="AA18" s="55">
        <f t="shared" si="22"/>
        <v>0.94594594594594594</v>
      </c>
      <c r="AB18" s="55" t="str">
        <f t="shared" si="23"/>
        <v/>
      </c>
      <c r="AC18" s="56" t="str">
        <f t="shared" si="24"/>
        <v/>
      </c>
      <c r="AD18" s="79">
        <f t="shared" si="25"/>
        <v>3</v>
      </c>
      <c r="AE18" s="59">
        <f t="shared" si="26"/>
        <v>0.91911648490595865</v>
      </c>
      <c r="AF18" s="55" cm="1">
        <f t="array" ref="AF18">IFERROR(IF(AD18&gt;Lookups!$I$5-1,AVERAGE(LARGE(V18:AC18,_xlfn.SEQUENCE(Lookups!$I$5))),AVERAGE(LARGE(V18:AC18,_xlfn.SEQUENCE(AD18)))),"")</f>
        <v>0.91911648490595865</v>
      </c>
      <c r="AG18" s="124">
        <f t="shared" si="27"/>
        <v>102</v>
      </c>
      <c r="AH18" s="78" t="str">
        <f>IF(AD18=Lookups!$I$5+1,LARGE(V18:AC18,5),"")</f>
        <v/>
      </c>
      <c r="AI18" s="78" t="str">
        <f>IF(AD18=Lookups!$I$5+2,LARGE(V18:AC18,6),"")</f>
        <v/>
      </c>
      <c r="AJ18" s="78"/>
      <c r="AK18" s="78"/>
      <c r="AL18" s="140">
        <f t="shared" si="11"/>
        <v>29</v>
      </c>
      <c r="AM18" s="134" t="str">
        <f>IF(OR(AD18=0,AD18=""),"",IF(COUNTIFS($AR$6:$AR$177,"&gt;"&amp;AR18)+COUNTIFS(AR$6:AR18,"="&amp;AR18)=0,"",COUNTIFS($AR$6:$AR$177,"&gt;"&amp;AR18)+COUNTIFS(AR$6:AR18,"="&amp;AR18)))</f>
        <v/>
      </c>
      <c r="AN18" s="134">
        <f>IFERROR(IF(OR(AD18=0,AD18=""),"",IF(COUNTIFS($AS$6:$AS$177,"&gt;"&amp;AS18)+COUNTIFS(AS$6:AS18,"="&amp;AS18)=0,"",COUNTIFS($AS$6:$AS$177,"&gt;"&amp;AS18)+COUNTIFS(AS$6:AS18,"="&amp;AS18)+$AM$5)),"")</f>
        <v>29</v>
      </c>
      <c r="AO18" s="134" t="str">
        <f>IFERROR(IF(OR(AD18=0,AD18=""),"",IF(COUNTIFS($AT$6:$AT$177,"&gt;"&amp;AT18)+COUNTIFS(AT$6:AT18,"="&amp;AT18)=0,"",COUNTIFS($AT$6:$AT$177,"&gt;"&amp;AT18)+COUNTIFS(AT$6:AT18,"="&amp;AT18)+$AN$5)),"")</f>
        <v/>
      </c>
      <c r="AP18" s="134" t="str">
        <f>IFERROR(IF(OR(AD18=0,AD18=""),"",IF(COUNTIFS($AU$6:$AU$177,"&gt;"&amp;AU18)+COUNTIFS(AU$6:AU18,"="&amp;AU18)=0,"",COUNTIFS($AU$6:$AU$177,"&gt;"&amp;AU18)+COUNTIFS(AU$6:AU18,"="&amp;AU18)+$AO$5)),"")</f>
        <v/>
      </c>
      <c r="AQ18" s="134" t="str">
        <f>IFERROR(IF(OR(AD18=0,AD18=""),"",IF(COUNTIFS($AV$6:$AV$177,"&gt;"&amp;AV18)+COUNTIFS(AV$6:AV18,"="&amp;AV18)=0,"",COUNTIFS($AV$6:$AV$177,"&gt;"&amp;AV18)+COUNTIFS(AV$6:AV18,"="&amp;AV18)+$AP$5)),"")</f>
        <v/>
      </c>
      <c r="AR18" s="78" t="str">
        <f t="shared" si="12"/>
        <v/>
      </c>
      <c r="AS18" s="78">
        <f t="shared" si="13"/>
        <v>0.91911648490595865</v>
      </c>
      <c r="AT18" s="78" t="str">
        <f t="shared" si="14"/>
        <v/>
      </c>
      <c r="AU18" s="78" t="str">
        <f t="shared" si="15"/>
        <v/>
      </c>
      <c r="AV18" s="78" t="str">
        <f t="shared" si="16"/>
        <v/>
      </c>
    </row>
    <row r="19" spans="1:48" ht="16.5" customHeight="1" x14ac:dyDescent="0.3">
      <c r="A19" t="str">
        <f>IF(AD19="","",COUNTIFS($H$6:$H$120,H19,$AF$6:$AF$120,"&gt;"&amp;AF19)+COUNTIFS(H19:$H$120,H19,AF19:$AF$120,AF19))</f>
        <v/>
      </c>
      <c r="C19" t="str">
        <f t="shared" si="10"/>
        <v/>
      </c>
      <c r="D19" t="str">
        <f>IF(AG19=0,"",IF(COUNTIFS($AG$6:$AG$177,"&gt;"&amp;AG19)+COUNTIFS(AG$6:AG19,"="&amp;AG19)=0,"",COUNTIFS($AG$6:$AG$177,"&gt;"&amp;AG19)+COUNTIFS(AG$6:AG19,"="&amp;AG19)))</f>
        <v/>
      </c>
      <c r="F19" s="19"/>
      <c r="G19" s="103" t="str">
        <f>IFERROR(IF(VLOOKUP(F19,Lookups!$A$2:$F$111,2,FALSE)="","",VLOOKUP(F19,Lookups!$A$2:$F$111,2,FALSE)),"")</f>
        <v/>
      </c>
      <c r="H19" s="103" t="str">
        <f>IFERROR(IF(VLOOKUP(F19,Lookups!$A$2:$F$111,3,FALSE)="","",VLOOKUP(F19,Lookups!$A$2:$F$111,3,FALSE)),"")</f>
        <v/>
      </c>
      <c r="I19" s="103" t="str">
        <f>IFERROR(IF(AF19=0,"",VLOOKUP(AF19,Lookups!$K$2:$L$6,2,TRUE)),"")</f>
        <v/>
      </c>
      <c r="J19" s="103" t="str">
        <f>IF(AD19&lt;Lookups!$I$5,"Y","N")</f>
        <v>N</v>
      </c>
      <c r="K19" s="103" t="str">
        <f>IFERROR(IF(VLOOKUP(F19,Lookups!$A$2:$F$111,4,FALSE)="","",VLOOKUP(F19,Lookups!$A$2:$F$111,4,FALSE)),"")</f>
        <v/>
      </c>
      <c r="L19" s="103" t="str">
        <f>IFERROR(IF(VLOOKUP(F19,Lookups!$A$2:$F$111,5,FALSE)="","",VLOOKUP(F19,Lookups!$A$2:$F$111,5,FALSE)),"")</f>
        <v/>
      </c>
      <c r="M19" s="104" t="str">
        <f>IFERROR(IF(VLOOKUP(F19,Lookups!$A$2:$F$111,6,FALSE)="","",VLOOKUP(F19,Lookups!$A$2:$F$111,6,FALSE)),"")</f>
        <v/>
      </c>
      <c r="N19" s="57" t="str">
        <f>IFERROR(IF(VLOOKUP(F19,Scores!$A$1:$I$99,2,FALSE)="","",VLOOKUP(F19,Scores!$A$1:$I$99,2,FALSE)),"")</f>
        <v/>
      </c>
      <c r="O19" s="58" t="str">
        <f>IFERROR(IF(VLOOKUP(F19,Scores!$A$1:$I$99,3,FALSE)="","",VLOOKUP(F19,Scores!$A$1:$I$99,3,FALSE)),"")</f>
        <v/>
      </c>
      <c r="P19" s="58" t="str">
        <f>IFERROR(IF(VLOOKUP(F19,Scores!$A$1:$I$99,4,FALSE)="","",VLOOKUP(F19,Scores!$A$1:$I$99,4,FALSE)),"")</f>
        <v/>
      </c>
      <c r="Q19" s="58" t="str">
        <f>IFERROR(IF(VLOOKUP(F19,Scores!$A$1:$I$99,5,FALSE)="","",VLOOKUP(F19,Scores!$A$1:$I$99,5,FALSE)),"")</f>
        <v/>
      </c>
      <c r="R19" s="58" t="str">
        <f>IFERROR(IF(VLOOKUP(F19,Scores!$A$1:$I$99,6,FALSE)="","",VLOOKUP(F19,Scores!$A$1:$I$99,6,FALSE)),"")</f>
        <v/>
      </c>
      <c r="S19" s="58" t="str">
        <f>IFERROR(IF(VLOOKUP(F19,Scores!$A$1:$I$99,7,FALSE)="","",VLOOKUP(F19,Scores!$A$1:$I$99,7,FALSE)),"")</f>
        <v/>
      </c>
      <c r="T19" s="58" t="str">
        <f>IFERROR(IF(VLOOKUP(F19,Scores!$A$1:$I$99,8,FALSE)="","",VLOOKUP(F19,Scores!$A$1:$I$99,8,FALSE)),"")</f>
        <v/>
      </c>
      <c r="U19" s="60" t="str">
        <f>IFERROR(IF(VLOOKUP(F19,Scores!$A$1:$I$99,9,FALSE)="","",VLOOKUP(F19,Scores!$A$1:$I$99,9,FALSE)),"")</f>
        <v/>
      </c>
      <c r="V19" s="54" t="str">
        <f t="shared" si="17"/>
        <v/>
      </c>
      <c r="W19" s="55" t="str">
        <f t="shared" si="18"/>
        <v/>
      </c>
      <c r="X19" s="55" t="str">
        <f t="shared" si="19"/>
        <v/>
      </c>
      <c r="Y19" s="55" t="str">
        <f t="shared" si="20"/>
        <v/>
      </c>
      <c r="Z19" s="55" t="str">
        <f t="shared" si="21"/>
        <v/>
      </c>
      <c r="AA19" s="55" t="str">
        <f t="shared" si="22"/>
        <v/>
      </c>
      <c r="AB19" s="55" t="str">
        <f t="shared" si="23"/>
        <v/>
      </c>
      <c r="AC19" s="56" t="str">
        <f t="shared" si="24"/>
        <v/>
      </c>
      <c r="AD19" s="79" t="str">
        <f t="shared" si="25"/>
        <v/>
      </c>
      <c r="AE19" s="59" t="str">
        <f t="shared" si="26"/>
        <v/>
      </c>
      <c r="AF19" s="55" t="str" cm="1">
        <f t="array" ref="AF19">IFERROR(IF(AD19&gt;Lookups!$I$5-1,AVERAGE(LARGE(V19:AC19,_xlfn.SEQUENCE(Lookups!$I$5))),AVERAGE(LARGE(V19:AC19,_xlfn.SEQUENCE(AD19)))),"")</f>
        <v/>
      </c>
      <c r="AG19" s="124" t="str">
        <f t="shared" si="27"/>
        <v/>
      </c>
      <c r="AH19" s="78" t="str">
        <f>IF(AD19=Lookups!$I$5+1,LARGE(V19:AC19,5),"")</f>
        <v/>
      </c>
      <c r="AI19" s="78" t="str">
        <f>IF(AD19=Lookups!$I$5+2,LARGE(V19:AC19,6),"")</f>
        <v/>
      </c>
      <c r="AJ19" s="78"/>
      <c r="AK19" s="78"/>
      <c r="AL19" s="140" t="str">
        <f t="shared" si="11"/>
        <v/>
      </c>
      <c r="AM19" s="134" t="str">
        <f>IF(OR(AD19=0,AD19=""),"",IF(COUNTIFS($AR$6:$AR$177,"&gt;"&amp;AR19)+COUNTIFS(AR$6:AR19,"="&amp;AR19)=0,"",COUNTIFS($AR$6:$AR$177,"&gt;"&amp;AR19)+COUNTIFS(AR$6:AR19,"="&amp;AR19)))</f>
        <v/>
      </c>
      <c r="AN19" s="134" t="str">
        <f>IFERROR(IF(OR(AD19=0,AD19=""),"",IF(COUNTIFS($AS$6:$AS$177,"&gt;"&amp;AS19)+COUNTIFS(AS$6:AS19,"="&amp;AS19)=0,"",COUNTIFS($AS$6:$AS$177,"&gt;"&amp;AS19)+COUNTIFS(AS$6:AS19,"="&amp;AS19)+$AM$5)),"")</f>
        <v/>
      </c>
      <c r="AO19" s="134" t="str">
        <f>IFERROR(IF(OR(AD19=0,AD19=""),"",IF(COUNTIFS($AT$6:$AT$177,"&gt;"&amp;AT19)+COUNTIFS(AT$6:AT19,"="&amp;AT19)=0,"",COUNTIFS($AT$6:$AT$177,"&gt;"&amp;AT19)+COUNTIFS(AT$6:AT19,"="&amp;AT19)+$AN$5)),"")</f>
        <v/>
      </c>
      <c r="AP19" s="134" t="str">
        <f>IFERROR(IF(OR(AD19=0,AD19=""),"",IF(COUNTIFS($AU$6:$AU$177,"&gt;"&amp;AU19)+COUNTIFS(AU$6:AU19,"="&amp;AU19)=0,"",COUNTIFS($AU$6:$AU$177,"&gt;"&amp;AU19)+COUNTIFS(AU$6:AU19,"="&amp;AU19)+$AO$5)),"")</f>
        <v/>
      </c>
      <c r="AQ19" s="134" t="str">
        <f>IFERROR(IF(OR(AD19=0,AD19=""),"",IF(COUNTIFS($AV$6:$AV$177,"&gt;"&amp;AV19)+COUNTIFS(AV$6:AV19,"="&amp;AV19)=0,"",COUNTIFS($AV$6:$AV$177,"&gt;"&amp;AV19)+COUNTIFS(AV$6:AV19,"="&amp;AV19)+$AP$5)),"")</f>
        <v/>
      </c>
      <c r="AR19" s="78" t="str">
        <f t="shared" si="12"/>
        <v/>
      </c>
      <c r="AS19" s="78" t="str">
        <f t="shared" si="13"/>
        <v/>
      </c>
      <c r="AT19" s="78" t="str">
        <f t="shared" si="14"/>
        <v/>
      </c>
      <c r="AU19" s="78" t="str">
        <f t="shared" si="15"/>
        <v/>
      </c>
      <c r="AV19" s="78" t="str">
        <f t="shared" si="16"/>
        <v/>
      </c>
    </row>
    <row r="20" spans="1:48" ht="16.5" customHeight="1" x14ac:dyDescent="0.3">
      <c r="A20" t="str">
        <f>IF(AD20="","",COUNTIFS($H$6:$H$120,H20,$AF$6:$AF$120,"&gt;"&amp;AF20)+COUNTIFS(H20:$H$120,H20,AF20:$AF$120,AF20))</f>
        <v/>
      </c>
      <c r="C20" t="str">
        <f t="shared" si="10"/>
        <v/>
      </c>
      <c r="D20" t="str">
        <f>IF(AG20=0,"",IF(COUNTIFS($AG$6:$AG$177,"&gt;"&amp;AG20)+COUNTIFS(AG$6:AG20,"="&amp;AG20)=0,"",COUNTIFS($AG$6:$AG$177,"&gt;"&amp;AG20)+COUNTIFS(AG$6:AG20,"="&amp;AG20)))</f>
        <v/>
      </c>
      <c r="F20" s="19"/>
      <c r="G20" s="103" t="str">
        <f>IFERROR(IF(VLOOKUP(F20,Lookups!$A$2:$F$111,2,FALSE)="","",VLOOKUP(F20,Lookups!$A$2:$F$111,2,FALSE)),"")</f>
        <v/>
      </c>
      <c r="H20" s="103" t="str">
        <f>IFERROR(IF(VLOOKUP(F20,Lookups!$A$2:$F$111,3,FALSE)="","",VLOOKUP(F20,Lookups!$A$2:$F$111,3,FALSE)),"")</f>
        <v/>
      </c>
      <c r="I20" s="103" t="str">
        <f>IFERROR(IF(AF20=0,"",VLOOKUP(AF20,Lookups!$K$2:$L$6,2,TRUE)),"")</f>
        <v/>
      </c>
      <c r="J20" s="103" t="str">
        <f>IF(AD20&lt;Lookups!$I$5,"Y","N")</f>
        <v>N</v>
      </c>
      <c r="K20" s="103" t="str">
        <f>IFERROR(IF(VLOOKUP(F20,Lookups!$A$2:$F$111,4,FALSE)="","",VLOOKUP(F20,Lookups!$A$2:$F$111,4,FALSE)),"")</f>
        <v/>
      </c>
      <c r="L20" s="103" t="str">
        <f>IFERROR(IF(VLOOKUP(F20,Lookups!$A$2:$F$111,5,FALSE)="","",VLOOKUP(F20,Lookups!$A$2:$F$111,5,FALSE)),"")</f>
        <v/>
      </c>
      <c r="M20" s="104" t="str">
        <f>IFERROR(IF(VLOOKUP(F20,Lookups!$A$2:$F$111,6,FALSE)="","",VLOOKUP(F20,Lookups!$A$2:$F$111,6,FALSE)),"")</f>
        <v/>
      </c>
      <c r="N20" s="57" t="str">
        <f>IFERROR(IF(VLOOKUP(F20,Scores!$A$1:$I$99,2,FALSE)="","",VLOOKUP(F20,Scores!$A$1:$I$99,2,FALSE)),"")</f>
        <v/>
      </c>
      <c r="O20" s="58" t="str">
        <f>IFERROR(IF(VLOOKUP(F20,Scores!$A$1:$I$99,3,FALSE)="","",VLOOKUP(F20,Scores!$A$1:$I$99,3,FALSE)),"")</f>
        <v/>
      </c>
      <c r="P20" s="58" t="str">
        <f>IFERROR(IF(VLOOKUP(F20,Scores!$A$1:$I$99,4,FALSE)="","",VLOOKUP(F20,Scores!$A$1:$I$99,4,FALSE)),"")</f>
        <v/>
      </c>
      <c r="Q20" s="58" t="str">
        <f>IFERROR(IF(VLOOKUP(F20,Scores!$A$1:$I$99,5,FALSE)="","",VLOOKUP(F20,Scores!$A$1:$I$99,5,FALSE)),"")</f>
        <v/>
      </c>
      <c r="R20" s="58" t="str">
        <f>IFERROR(IF(VLOOKUP(F20,Scores!$A$1:$I$99,6,FALSE)="","",VLOOKUP(F20,Scores!$A$1:$I$99,6,FALSE)),"")</f>
        <v/>
      </c>
      <c r="S20" s="58" t="str">
        <f>IFERROR(IF(VLOOKUP(F20,Scores!$A$1:$I$99,7,FALSE)="","",VLOOKUP(F20,Scores!$A$1:$I$99,7,FALSE)),"")</f>
        <v/>
      </c>
      <c r="T20" s="58" t="str">
        <f>IFERROR(IF(VLOOKUP(F20,Scores!$A$1:$I$99,8,FALSE)="","",VLOOKUP(F20,Scores!$A$1:$I$99,8,FALSE)),"")</f>
        <v/>
      </c>
      <c r="U20" s="60" t="str">
        <f>IFERROR(IF(VLOOKUP(F20,Scores!$A$1:$I$99,9,FALSE)="","",VLOOKUP(F20,Scores!$A$1:$I$99,9,FALSE)),"")</f>
        <v/>
      </c>
      <c r="V20" s="54" t="str">
        <f t="shared" si="17"/>
        <v/>
      </c>
      <c r="W20" s="55" t="str">
        <f t="shared" si="18"/>
        <v/>
      </c>
      <c r="X20" s="55" t="str">
        <f t="shared" si="19"/>
        <v/>
      </c>
      <c r="Y20" s="55" t="str">
        <f t="shared" si="20"/>
        <v/>
      </c>
      <c r="Z20" s="55" t="str">
        <f t="shared" si="21"/>
        <v/>
      </c>
      <c r="AA20" s="55" t="str">
        <f t="shared" si="22"/>
        <v/>
      </c>
      <c r="AB20" s="55" t="str">
        <f t="shared" si="23"/>
        <v/>
      </c>
      <c r="AC20" s="56" t="str">
        <f t="shared" si="24"/>
        <v/>
      </c>
      <c r="AD20" s="79" t="str">
        <f t="shared" si="25"/>
        <v/>
      </c>
      <c r="AE20" s="59" t="str">
        <f t="shared" si="26"/>
        <v/>
      </c>
      <c r="AF20" s="55" t="str" cm="1">
        <f t="array" ref="AF20">IFERROR(IF(AD20&gt;Lookups!$I$5-1,AVERAGE(LARGE(V20:AC20,_xlfn.SEQUENCE(Lookups!$I$5))),AVERAGE(LARGE(V20:AC20,_xlfn.SEQUENCE(AD20)))),"")</f>
        <v/>
      </c>
      <c r="AG20" s="124" t="str">
        <f t="shared" si="27"/>
        <v/>
      </c>
      <c r="AH20" s="78" t="str">
        <f>IF(AD20=Lookups!$I$5+1,LARGE(V20:AC20,5),"")</f>
        <v/>
      </c>
      <c r="AI20" s="78" t="str">
        <f>IF(AD20=Lookups!$I$5+2,LARGE(V20:AC20,6),"")</f>
        <v/>
      </c>
      <c r="AJ20" s="78"/>
      <c r="AK20" s="78"/>
      <c r="AL20" s="140" t="str">
        <f t="shared" si="11"/>
        <v/>
      </c>
      <c r="AM20" s="134" t="str">
        <f>IF(OR(AD20=0,AD20=""),"",IF(COUNTIFS($AR$6:$AR$177,"&gt;"&amp;AR20)+COUNTIFS(AR$6:AR20,"="&amp;AR20)=0,"",COUNTIFS($AR$6:$AR$177,"&gt;"&amp;AR20)+COUNTIFS(AR$6:AR20,"="&amp;AR20)))</f>
        <v/>
      </c>
      <c r="AN20" s="134" t="str">
        <f>IFERROR(IF(OR(AD20=0,AD20=""),"",IF(COUNTIFS($AS$6:$AS$177,"&gt;"&amp;AS20)+COUNTIFS(AS$6:AS20,"="&amp;AS20)=0,"",COUNTIFS($AS$6:$AS$177,"&gt;"&amp;AS20)+COUNTIFS(AS$6:AS20,"="&amp;AS20)+$AM$5)),"")</f>
        <v/>
      </c>
      <c r="AO20" s="134" t="str">
        <f>IFERROR(IF(OR(AD20=0,AD20=""),"",IF(COUNTIFS($AT$6:$AT$177,"&gt;"&amp;AT20)+COUNTIFS(AT$6:AT20,"="&amp;AT20)=0,"",COUNTIFS($AT$6:$AT$177,"&gt;"&amp;AT20)+COUNTIFS(AT$6:AT20,"="&amp;AT20)+$AN$5)),"")</f>
        <v/>
      </c>
      <c r="AP20" s="134" t="str">
        <f>IFERROR(IF(OR(AD20=0,AD20=""),"",IF(COUNTIFS($AU$6:$AU$177,"&gt;"&amp;AU20)+COUNTIFS(AU$6:AU20,"="&amp;AU20)=0,"",COUNTIFS($AU$6:$AU$177,"&gt;"&amp;AU20)+COUNTIFS(AU$6:AU20,"="&amp;AU20)+$AO$5)),"")</f>
        <v/>
      </c>
      <c r="AQ20" s="134" t="str">
        <f>IFERROR(IF(OR(AD20=0,AD20=""),"",IF(COUNTIFS($AV$6:$AV$177,"&gt;"&amp;AV20)+COUNTIFS(AV$6:AV20,"="&amp;AV20)=0,"",COUNTIFS($AV$6:$AV$177,"&gt;"&amp;AV20)+COUNTIFS(AV$6:AV20,"="&amp;AV20)+$AP$5)),"")</f>
        <v/>
      </c>
      <c r="AR20" s="78" t="str">
        <f t="shared" si="12"/>
        <v/>
      </c>
      <c r="AS20" s="78" t="str">
        <f t="shared" si="13"/>
        <v/>
      </c>
      <c r="AT20" s="78" t="str">
        <f t="shared" si="14"/>
        <v/>
      </c>
      <c r="AU20" s="78" t="str">
        <f t="shared" si="15"/>
        <v/>
      </c>
      <c r="AV20" s="78" t="str">
        <f t="shared" si="16"/>
        <v/>
      </c>
    </row>
    <row r="21" spans="1:48" ht="16.5" customHeight="1" x14ac:dyDescent="0.3">
      <c r="A21">
        <f>IF(AD21="","",COUNTIFS($H$6:$H$120,H21,$AF$6:$AF$120,"&gt;"&amp;AF21)+COUNTIFS(H21:$H$120,H21,AF21:$AF$120,AF21))</f>
        <v>6</v>
      </c>
      <c r="C21">
        <f t="shared" si="10"/>
        <v>20</v>
      </c>
      <c r="D21">
        <f>IF(AG21=0,"",IF(COUNTIFS($AG$6:$AG$177,"&gt;"&amp;AG21)+COUNTIFS(AG$6:AG21,"="&amp;AG21)=0,"",COUNTIFS($AG$6:$AG$177,"&gt;"&amp;AG21)+COUNTIFS(AG$6:AG21,"="&amp;AG21)))</f>
        <v>27</v>
      </c>
      <c r="F21" s="21" t="s">
        <v>23</v>
      </c>
      <c r="G21" s="105">
        <f>IFERROR(IF(VLOOKUP(F21,Lookups!$A$2:$F$111,2,FALSE)="","",VLOOKUP(F21,Lookups!$A$2:$F$111,2,FALSE)),"")</f>
        <v>88</v>
      </c>
      <c r="H21" s="105" t="str">
        <f>IFERROR(IF(VLOOKUP(F21,Lookups!$A$2:$F$111,3,FALSE)="","",VLOOKUP(F21,Lookups!$A$2:$F$111,3,FALSE)),"")</f>
        <v>A</v>
      </c>
      <c r="I21" s="105" t="str">
        <f>IFERROR(IF(AF21=0,"",VLOOKUP(AF21,Lookups!$K$2:$L$6,2,TRUE)),"")</f>
        <v>B</v>
      </c>
      <c r="J21" s="105" t="str">
        <f>IF(AD21&lt;Lookups!$I$5,"Y","N")</f>
        <v>N</v>
      </c>
      <c r="K21" s="105" t="str">
        <f>IFERROR(IF(VLOOKUP(F21,Lookups!$A$2:$F$111,4,FALSE)="","",VLOOKUP(F21,Lookups!$A$2:$F$111,4,FALSE)),"")</f>
        <v>PCP</v>
      </c>
      <c r="L21" s="105" t="str">
        <f>IFERROR(IF(VLOOKUP(F21,Lookups!$A$2:$F$111,5,FALSE)="","",VLOOKUP(F21,Lookups!$A$2:$F$111,5,FALSE)),"")</f>
        <v>Buccaneers</v>
      </c>
      <c r="M21" s="106" t="str">
        <f>IFERROR(IF(VLOOKUP(F21,Lookups!$A$2:$F$111,6,FALSE)="","",VLOOKUP(F21,Lookups!$A$2:$F$111,6,FALSE)),"")</f>
        <v>Buccaneers</v>
      </c>
      <c r="N21" s="57" t="str">
        <f>IFERROR(IF(VLOOKUP(F21,Scores!$A$1:$I$99,2,FALSE)="","",VLOOKUP(F21,Scores!$A$1:$I$99,2,FALSE)),"")</f>
        <v/>
      </c>
      <c r="O21" s="58">
        <f>IFERROR(IF(VLOOKUP(F21,Scores!$A$1:$I$99,3,FALSE)="","",VLOOKUP(F21,Scores!$A$1:$I$99,3,FALSE)),"")</f>
        <v>17</v>
      </c>
      <c r="P21" s="58">
        <f>IFERROR(IF(VLOOKUP(F21,Scores!$A$1:$I$99,4,FALSE)="","",VLOOKUP(F21,Scores!$A$1:$I$99,4,FALSE)),"")</f>
        <v>31</v>
      </c>
      <c r="Q21" s="58">
        <f>IFERROR(IF(VLOOKUP(F21,Scores!$A$1:$I$99,5,FALSE)="","",VLOOKUP(F21,Scores!$A$1:$I$99,5,FALSE)),"")</f>
        <v>27</v>
      </c>
      <c r="R21" s="58" t="str">
        <f>IFERROR(IF(VLOOKUP(F21,Scores!$A$1:$I$99,6,FALSE)="","",VLOOKUP(F21,Scores!$A$1:$I$99,6,FALSE)),"")</f>
        <v/>
      </c>
      <c r="S21" s="58">
        <f>IFERROR(IF(VLOOKUP(F21,Scores!$A$1:$I$99,7,FALSE)="","",VLOOKUP(F21,Scores!$A$1:$I$99,7,FALSE)),"")</f>
        <v>32</v>
      </c>
      <c r="T21" s="58" t="str">
        <f>IFERROR(IF(VLOOKUP(F21,Scores!$A$1:$I$99,8,FALSE)="","",VLOOKUP(F21,Scores!$A$1:$I$99,8,FALSE)),"")</f>
        <v/>
      </c>
      <c r="U21" s="60" t="str">
        <f>IFERROR(IF(VLOOKUP(F21,Scores!$A$1:$I$99,9,FALSE)="","",VLOOKUP(F21,Scores!$A$1:$I$99,9,FALSE)),"")</f>
        <v/>
      </c>
      <c r="V21" s="54" t="str">
        <f t="shared" si="17"/>
        <v/>
      </c>
      <c r="W21" s="55">
        <f t="shared" si="18"/>
        <v>0.54838709677419351</v>
      </c>
      <c r="X21" s="55">
        <f t="shared" si="19"/>
        <v>0.83783783783783783</v>
      </c>
      <c r="Y21" s="55">
        <f t="shared" si="20"/>
        <v>0.75</v>
      </c>
      <c r="Z21" s="55" t="str">
        <f t="shared" si="21"/>
        <v/>
      </c>
      <c r="AA21" s="55">
        <f t="shared" si="22"/>
        <v>0.86486486486486491</v>
      </c>
      <c r="AB21" s="55" t="str">
        <f t="shared" si="23"/>
        <v/>
      </c>
      <c r="AC21" s="56" t="str">
        <f t="shared" si="24"/>
        <v/>
      </c>
      <c r="AD21" s="79">
        <f t="shared" si="25"/>
        <v>4</v>
      </c>
      <c r="AE21" s="59">
        <f t="shared" si="26"/>
        <v>0.75027244986922403</v>
      </c>
      <c r="AF21" s="55" cm="1">
        <f t="array" ref="AF21">IFERROR(IF(AD21&gt;Lookups!$I$5-1,AVERAGE(LARGE(V21:AC21,_xlfn.SEQUENCE(Lookups!$I$5))),AVERAGE(LARGE(V21:AC21,_xlfn.SEQUENCE(AD21)))),"")</f>
        <v>0.75027244986922403</v>
      </c>
      <c r="AG21" s="124">
        <f t="shared" si="27"/>
        <v>107</v>
      </c>
      <c r="AH21" s="78" t="str">
        <f>IF(AD21=Lookups!$I$5+1,LARGE(V21:AC21,5),"")</f>
        <v/>
      </c>
      <c r="AI21" s="78" t="str">
        <f>IF(AD21=Lookups!$I$5+2,LARGE(V21:AC21,6),"")</f>
        <v/>
      </c>
      <c r="AJ21" s="78"/>
      <c r="AK21" s="78"/>
      <c r="AL21" s="140">
        <f t="shared" si="11"/>
        <v>20</v>
      </c>
      <c r="AM21" s="134">
        <f>IF(OR(AD21=0,AD21=""),"",IF(COUNTIFS($AR$6:$AR$177,"&gt;"&amp;AR21)+COUNTIFS(AR$6:AR21,"="&amp;AR21)=0,"",COUNTIFS($AR$6:$AR$177,"&gt;"&amp;AR21)+COUNTIFS(AR$6:AR21,"="&amp;AR21)))</f>
        <v>20</v>
      </c>
      <c r="AN21" s="134" t="str">
        <f>IFERROR(IF(OR(AD21=0,AD21=""),"",IF(COUNTIFS($AS$6:$AS$177,"&gt;"&amp;AS21)+COUNTIFS(AS$6:AS21,"="&amp;AS21)=0,"",COUNTIFS($AS$6:$AS$177,"&gt;"&amp;AS21)+COUNTIFS(AS$6:AS21,"="&amp;AS21)+$AM$5)),"")</f>
        <v/>
      </c>
      <c r="AO21" s="134" t="str">
        <f>IFERROR(IF(OR(AD21=0,AD21=""),"",IF(COUNTIFS($AT$6:$AT$177,"&gt;"&amp;AT21)+COUNTIFS(AT$6:AT21,"="&amp;AT21)=0,"",COUNTIFS($AT$6:$AT$177,"&gt;"&amp;AT21)+COUNTIFS(AT$6:AT21,"="&amp;AT21)+$AN$5)),"")</f>
        <v/>
      </c>
      <c r="AP21" s="134" t="str">
        <f>IFERROR(IF(OR(AD21=0,AD21=""),"",IF(COUNTIFS($AU$6:$AU$177,"&gt;"&amp;AU21)+COUNTIFS(AU$6:AU21,"="&amp;AU21)=0,"",COUNTIFS($AU$6:$AU$177,"&gt;"&amp;AU21)+COUNTIFS(AU$6:AU21,"="&amp;AU21)+$AO$5)),"")</f>
        <v/>
      </c>
      <c r="AQ21" s="134" t="str">
        <f>IFERROR(IF(OR(AD21=0,AD21=""),"",IF(COUNTIFS($AV$6:$AV$177,"&gt;"&amp;AV21)+COUNTIFS(AV$6:AV21,"="&amp;AV21)=0,"",COUNTIFS($AV$6:$AV$177,"&gt;"&amp;AV21)+COUNTIFS(AV$6:AV21,"="&amp;AV21)+$AP$5)),"")</f>
        <v/>
      </c>
      <c r="AR21" s="78">
        <f t="shared" si="12"/>
        <v>0.75027244986922403</v>
      </c>
      <c r="AS21" s="78" t="str">
        <f t="shared" si="13"/>
        <v/>
      </c>
      <c r="AT21" s="78" t="str">
        <f t="shared" si="14"/>
        <v/>
      </c>
      <c r="AU21" s="78" t="str">
        <f t="shared" si="15"/>
        <v/>
      </c>
      <c r="AV21" s="78" t="str">
        <f t="shared" si="16"/>
        <v/>
      </c>
    </row>
    <row r="22" spans="1:48" ht="16.5" customHeight="1" x14ac:dyDescent="0.3">
      <c r="A22" t="str">
        <f>IF(AD22="","",COUNTIFS($H$6:$H$120,H22,$AF$6:$AF$120,"&gt;"&amp;AF22)+COUNTIFS(H22:$H$120,H22,AF22:$AF$120,AF22))</f>
        <v/>
      </c>
      <c r="C22" t="str">
        <f t="shared" si="10"/>
        <v/>
      </c>
      <c r="D22" t="str">
        <f>IF(AG22=0,"",IF(COUNTIFS($AG$6:$AG$177,"&gt;"&amp;AG22)+COUNTIFS(AG$6:AG22,"="&amp;AG22)=0,"",COUNTIFS($AG$6:$AG$177,"&gt;"&amp;AG22)+COUNTIFS(AG$6:AG22,"="&amp;AG22)))</f>
        <v/>
      </c>
      <c r="F22" s="19" t="s">
        <v>84</v>
      </c>
      <c r="G22" s="105">
        <f>IFERROR(IF(VLOOKUP(F22,Lookups!$A$2:$F$111,2,FALSE)="","",VLOOKUP(F22,Lookups!$A$2:$F$111,2,FALSE)),"")</f>
        <v>376</v>
      </c>
      <c r="H22" s="105" t="str">
        <f>IFERROR(IF(VLOOKUP(F22,Lookups!$A$2:$F$111,3,FALSE)="","",VLOOKUP(F22,Lookups!$A$2:$F$111,3,FALSE)),"")</f>
        <v>A</v>
      </c>
      <c r="I22" s="105" t="str">
        <f>IFERROR(IF(AF22=0,"",VLOOKUP(AF22,Lookups!$K$2:$L$6,2,TRUE)),"")</f>
        <v/>
      </c>
      <c r="J22" s="105" t="str">
        <f>IF(AD22&lt;Lookups!$I$5,"Y","N")</f>
        <v>N</v>
      </c>
      <c r="K22" s="105" t="str">
        <f>IFERROR(IF(VLOOKUP(F22,Lookups!$A$2:$F$111,4,FALSE)="","",VLOOKUP(F22,Lookups!$A$2:$F$111,4,FALSE)),"")</f>
        <v>PCP</v>
      </c>
      <c r="L22" s="105" t="str">
        <f>IFERROR(IF(VLOOKUP(F22,Lookups!$A$2:$F$111,5,FALSE)="","",VLOOKUP(F22,Lookups!$A$2:$F$111,5,FALSE)),"")</f>
        <v>Meon</v>
      </c>
      <c r="M22" s="106" t="str">
        <f>IFERROR(IF(VLOOKUP(F22,Lookups!$A$2:$F$111,6,FALSE)="","",VLOOKUP(F22,Lookups!$A$2:$F$111,6,FALSE)),"")</f>
        <v/>
      </c>
      <c r="N22" s="57" t="str">
        <f>IFERROR(IF(VLOOKUP(F22,Scores!$A$1:$I$99,2,FALSE)="","",VLOOKUP(F22,Scores!$A$1:$I$99,2,FALSE)),"")</f>
        <v/>
      </c>
      <c r="O22" s="58" t="str">
        <f>IFERROR(IF(VLOOKUP(F22,Scores!$A$1:$I$99,3,FALSE)="","",VLOOKUP(F22,Scores!$A$1:$I$99,3,FALSE)),"")</f>
        <v/>
      </c>
      <c r="P22" s="58" t="str">
        <f>IFERROR(IF(VLOOKUP(F22,Scores!$A$1:$I$99,4,FALSE)="","",VLOOKUP(F22,Scores!$A$1:$I$99,4,FALSE)),"")</f>
        <v/>
      </c>
      <c r="Q22" s="58" t="str">
        <f>IFERROR(IF(VLOOKUP(F22,Scores!$A$1:$I$99,5,FALSE)="","",VLOOKUP(F22,Scores!$A$1:$I$99,5,FALSE)),"")</f>
        <v/>
      </c>
      <c r="R22" s="58" t="str">
        <f>IFERROR(IF(VLOOKUP(F22,Scores!$A$1:$I$99,6,FALSE)="","",VLOOKUP(F22,Scores!$A$1:$I$99,6,FALSE)),"")</f>
        <v/>
      </c>
      <c r="S22" s="58" t="str">
        <f>IFERROR(IF(VLOOKUP(F22,Scores!$A$1:$I$99,7,FALSE)="","",VLOOKUP(F22,Scores!$A$1:$I$99,7,FALSE)),"")</f>
        <v/>
      </c>
      <c r="T22" s="58" t="str">
        <f>IFERROR(IF(VLOOKUP(F22,Scores!$A$1:$I$99,8,FALSE)="","",VLOOKUP(F22,Scores!$A$1:$I$99,8,FALSE)),"")</f>
        <v/>
      </c>
      <c r="U22" s="60" t="str">
        <f>IFERROR(IF(VLOOKUP(F22,Scores!$A$1:$I$99,9,FALSE)="","",VLOOKUP(F22,Scores!$A$1:$I$99,9,FALSE)),"")</f>
        <v/>
      </c>
      <c r="V22" s="54" t="str">
        <f t="shared" si="17"/>
        <v/>
      </c>
      <c r="W22" s="55" t="str">
        <f t="shared" si="18"/>
        <v/>
      </c>
      <c r="X22" s="55" t="str">
        <f t="shared" si="19"/>
        <v/>
      </c>
      <c r="Y22" s="55" t="str">
        <f t="shared" si="20"/>
        <v/>
      </c>
      <c r="Z22" s="55" t="str">
        <f t="shared" si="21"/>
        <v/>
      </c>
      <c r="AA22" s="55" t="str">
        <f t="shared" si="22"/>
        <v/>
      </c>
      <c r="AB22" s="55" t="str">
        <f t="shared" si="23"/>
        <v/>
      </c>
      <c r="AC22" s="56" t="str">
        <f t="shared" si="24"/>
        <v/>
      </c>
      <c r="AD22" s="79" t="str">
        <f t="shared" si="25"/>
        <v/>
      </c>
      <c r="AE22" s="59" t="str">
        <f t="shared" si="26"/>
        <v/>
      </c>
      <c r="AF22" s="55" t="str" cm="1">
        <f t="array" ref="AF22">IFERROR(IF(AD22&gt;Lookups!$I$5-1,AVERAGE(LARGE(V22:AC22,_xlfn.SEQUENCE(Lookups!$I$5))),AVERAGE(LARGE(V22:AC22,_xlfn.SEQUENCE(AD22)))),"")</f>
        <v/>
      </c>
      <c r="AG22" s="124" t="str">
        <f t="shared" si="27"/>
        <v/>
      </c>
      <c r="AH22" s="78" t="str">
        <f>IF(AD22=Lookups!$I$5+1,LARGE(V22:AC22,5),"")</f>
        <v/>
      </c>
      <c r="AI22" s="78" t="str">
        <f>IF(AD22=Lookups!$I$5+2,LARGE(V22:AC22,6),"")</f>
        <v/>
      </c>
      <c r="AJ22" s="78"/>
      <c r="AK22" s="78"/>
      <c r="AL22" s="140" t="str">
        <f t="shared" si="11"/>
        <v/>
      </c>
      <c r="AM22" s="134" t="str">
        <f>IF(OR(AD22=0,AD22=""),"",IF(COUNTIFS($AR$6:$AR$177,"&gt;"&amp;AR22)+COUNTIFS(AR$6:AR22,"="&amp;AR22)=0,"",COUNTIFS($AR$6:$AR$177,"&gt;"&amp;AR22)+COUNTIFS(AR$6:AR22,"="&amp;AR22)))</f>
        <v/>
      </c>
      <c r="AN22" s="134" t="str">
        <f>IFERROR(IF(OR(AD22=0,AD22=""),"",IF(COUNTIFS($AS$6:$AS$177,"&gt;"&amp;AS22)+COUNTIFS(AS$6:AS22,"="&amp;AS22)=0,"",COUNTIFS($AS$6:$AS$177,"&gt;"&amp;AS22)+COUNTIFS(AS$6:AS22,"="&amp;AS22)+$AM$5)),"")</f>
        <v/>
      </c>
      <c r="AO22" s="134" t="str">
        <f>IFERROR(IF(OR(AD22=0,AD22=""),"",IF(COUNTIFS($AT$6:$AT$177,"&gt;"&amp;AT22)+COUNTIFS(AT$6:AT22,"="&amp;AT22)=0,"",COUNTIFS($AT$6:$AT$177,"&gt;"&amp;AT22)+COUNTIFS(AT$6:AT22,"="&amp;AT22)+$AN$5)),"")</f>
        <v/>
      </c>
      <c r="AP22" s="134" t="str">
        <f>IFERROR(IF(OR(AD22=0,AD22=""),"",IF(COUNTIFS($AU$6:$AU$177,"&gt;"&amp;AU22)+COUNTIFS(AU$6:AU22,"="&amp;AU22)=0,"",COUNTIFS($AU$6:$AU$177,"&gt;"&amp;AU22)+COUNTIFS(AU$6:AU22,"="&amp;AU22)+$AO$5)),"")</f>
        <v/>
      </c>
      <c r="AQ22" s="134" t="str">
        <f>IFERROR(IF(OR(AD22=0,AD22=""),"",IF(COUNTIFS($AV$6:$AV$177,"&gt;"&amp;AV22)+COUNTIFS(AV$6:AV22,"="&amp;AV22)=0,"",COUNTIFS($AV$6:$AV$177,"&gt;"&amp;AV22)+COUNTIFS(AV$6:AV22,"="&amp;AV22)+$AP$5)),"")</f>
        <v/>
      </c>
      <c r="AR22" s="78" t="str">
        <f t="shared" si="12"/>
        <v/>
      </c>
      <c r="AS22" s="78" t="str">
        <f t="shared" si="13"/>
        <v/>
      </c>
      <c r="AT22" s="78" t="str">
        <f t="shared" si="14"/>
        <v/>
      </c>
      <c r="AU22" s="78" t="str">
        <f t="shared" si="15"/>
        <v/>
      </c>
      <c r="AV22" s="78" t="str">
        <f t="shared" si="16"/>
        <v/>
      </c>
    </row>
    <row r="23" spans="1:48" ht="16.5" customHeight="1" x14ac:dyDescent="0.3">
      <c r="A23" t="str">
        <f>IF(AD23="","",COUNTIFS($H$6:$H$120,H23,$AF$6:$AF$120,"&gt;"&amp;AF23)+COUNTIFS(H23:$H$120,H23,AF23:$AF$120,AF23))</f>
        <v/>
      </c>
      <c r="C23" t="str">
        <f t="shared" si="10"/>
        <v/>
      </c>
      <c r="D23" t="str">
        <f>IF(AG23=0,"",IF(COUNTIFS($AG$6:$AG$177,"&gt;"&amp;AG23)+COUNTIFS(AG$6:AG23,"="&amp;AG23)=0,"",COUNTIFS($AG$6:$AG$177,"&gt;"&amp;AG23)+COUNTIFS(AG$6:AG23,"="&amp;AG23)))</f>
        <v/>
      </c>
      <c r="F23" s="17" t="s">
        <v>79</v>
      </c>
      <c r="G23" s="105">
        <f>IFERROR(IF(VLOOKUP(F23,Lookups!$A$2:$F$111,2,FALSE)="","",VLOOKUP(F23,Lookups!$A$2:$F$111,2,FALSE)),"")</f>
        <v>611</v>
      </c>
      <c r="H23" s="105" t="str">
        <f>IFERROR(IF(VLOOKUP(F23,Lookups!$A$2:$F$111,3,FALSE)="","",VLOOKUP(F23,Lookups!$A$2:$F$111,3,FALSE)),"")</f>
        <v>A</v>
      </c>
      <c r="I23" s="105" t="str">
        <f>IFERROR(IF(AF23=0,"",VLOOKUP(AF23,Lookups!$K$2:$L$6,2,TRUE)),"")</f>
        <v/>
      </c>
      <c r="J23" s="105" t="str">
        <f>IF(AD23&lt;Lookups!$I$5,"Y","N")</f>
        <v>N</v>
      </c>
      <c r="K23" s="105" t="str">
        <f>IFERROR(IF(VLOOKUP(F23,Lookups!$A$2:$F$111,4,FALSE)="","",VLOOKUP(F23,Lookups!$A$2:$F$111,4,FALSE)),"")</f>
        <v>PCP</v>
      </c>
      <c r="L23" s="105" t="str">
        <f>IFERROR(IF(VLOOKUP(F23,Lookups!$A$2:$F$111,5,FALSE)="","",VLOOKUP(F23,Lookups!$A$2:$F$111,5,FALSE)),"")</f>
        <v>Bisley</v>
      </c>
      <c r="M23" s="106" t="str">
        <f>IFERROR(IF(VLOOKUP(F23,Lookups!$A$2:$F$111,6,FALSE)="","",VLOOKUP(F23,Lookups!$A$2:$F$111,6,FALSE)),"")</f>
        <v/>
      </c>
      <c r="N23" s="57" t="str">
        <f>IFERROR(IF(VLOOKUP(F23,Scores!$A$1:$I$99,2,FALSE)="","",VLOOKUP(F23,Scores!$A$1:$I$99,2,FALSE)),"")</f>
        <v/>
      </c>
      <c r="O23" s="58" t="str">
        <f>IFERROR(IF(VLOOKUP(F23,Scores!$A$1:$I$99,3,FALSE)="","",VLOOKUP(F23,Scores!$A$1:$I$99,3,FALSE)),"")</f>
        <v/>
      </c>
      <c r="P23" s="58" t="str">
        <f>IFERROR(IF(VLOOKUP(F23,Scores!$A$1:$I$99,4,FALSE)="","",VLOOKUP(F23,Scores!$A$1:$I$99,4,FALSE)),"")</f>
        <v/>
      </c>
      <c r="Q23" s="58" t="str">
        <f>IFERROR(IF(VLOOKUP(F23,Scores!$A$1:$I$99,5,FALSE)="","",VLOOKUP(F23,Scores!$A$1:$I$99,5,FALSE)),"")</f>
        <v/>
      </c>
      <c r="R23" s="58" t="str">
        <f>IFERROR(IF(VLOOKUP(F23,Scores!$A$1:$I$99,6,FALSE)="","",VLOOKUP(F23,Scores!$A$1:$I$99,6,FALSE)),"")</f>
        <v/>
      </c>
      <c r="S23" s="58" t="str">
        <f>IFERROR(IF(VLOOKUP(F23,Scores!$A$1:$I$99,7,FALSE)="","",VLOOKUP(F23,Scores!$A$1:$I$99,7,FALSE)),"")</f>
        <v/>
      </c>
      <c r="T23" s="58" t="str">
        <f>IFERROR(IF(VLOOKUP(F23,Scores!$A$1:$I$99,8,FALSE)="","",VLOOKUP(F23,Scores!$A$1:$I$99,8,FALSE)),"")</f>
        <v/>
      </c>
      <c r="U23" s="60" t="str">
        <f>IFERROR(IF(VLOOKUP(F23,Scores!$A$1:$I$99,9,FALSE)="","",VLOOKUP(F23,Scores!$A$1:$I$99,9,FALSE)),"")</f>
        <v/>
      </c>
      <c r="V23" s="54" t="str">
        <f t="shared" si="17"/>
        <v/>
      </c>
      <c r="W23" s="55" t="str">
        <f t="shared" si="18"/>
        <v/>
      </c>
      <c r="X23" s="55" t="str">
        <f t="shared" si="19"/>
        <v/>
      </c>
      <c r="Y23" s="55" t="str">
        <f t="shared" si="20"/>
        <v/>
      </c>
      <c r="Z23" s="55" t="str">
        <f t="shared" si="21"/>
        <v/>
      </c>
      <c r="AA23" s="55" t="str">
        <f t="shared" si="22"/>
        <v/>
      </c>
      <c r="AB23" s="55" t="str">
        <f t="shared" si="23"/>
        <v/>
      </c>
      <c r="AC23" s="56" t="str">
        <f t="shared" si="24"/>
        <v/>
      </c>
      <c r="AD23" s="79" t="str">
        <f t="shared" si="25"/>
        <v/>
      </c>
      <c r="AE23" s="59" t="str">
        <f t="shared" si="26"/>
        <v/>
      </c>
      <c r="AF23" s="55" t="str" cm="1">
        <f t="array" ref="AF23">IFERROR(IF(AD23&gt;Lookups!$I$5-1,AVERAGE(LARGE(V23:AC23,_xlfn.SEQUENCE(Lookups!$I$5))),AVERAGE(LARGE(V23:AC23,_xlfn.SEQUENCE(AD23)))),"")</f>
        <v/>
      </c>
      <c r="AG23" s="124" t="str">
        <f t="shared" si="27"/>
        <v/>
      </c>
      <c r="AH23" s="78" t="str">
        <f>IF(AD23=Lookups!$I$5+1,LARGE(V23:AC23,5),"")</f>
        <v/>
      </c>
      <c r="AI23" s="78" t="str">
        <f>IF(AD23=Lookups!$I$5+2,LARGE(V23:AC23,6),"")</f>
        <v/>
      </c>
      <c r="AJ23" s="78"/>
      <c r="AK23" s="78"/>
      <c r="AL23" s="140" t="str">
        <f t="shared" si="11"/>
        <v/>
      </c>
      <c r="AM23" s="134" t="str">
        <f>IF(OR(AD23=0,AD23=""),"",IF(COUNTIFS($AR$6:$AR$177,"&gt;"&amp;AR23)+COUNTIFS(AR$6:AR23,"="&amp;AR23)=0,"",COUNTIFS($AR$6:$AR$177,"&gt;"&amp;AR23)+COUNTIFS(AR$6:AR23,"="&amp;AR23)))</f>
        <v/>
      </c>
      <c r="AN23" s="134" t="str">
        <f>IFERROR(IF(OR(AD23=0,AD23=""),"",IF(COUNTIFS($AS$6:$AS$177,"&gt;"&amp;AS23)+COUNTIFS(AS$6:AS23,"="&amp;AS23)=0,"",COUNTIFS($AS$6:$AS$177,"&gt;"&amp;AS23)+COUNTIFS(AS$6:AS23,"="&amp;AS23)+$AM$5)),"")</f>
        <v/>
      </c>
      <c r="AO23" s="134" t="str">
        <f>IFERROR(IF(OR(AD23=0,AD23=""),"",IF(COUNTIFS($AT$6:$AT$177,"&gt;"&amp;AT23)+COUNTIFS(AT$6:AT23,"="&amp;AT23)=0,"",COUNTIFS($AT$6:$AT$177,"&gt;"&amp;AT23)+COUNTIFS(AT$6:AT23,"="&amp;AT23)+$AN$5)),"")</f>
        <v/>
      </c>
      <c r="AP23" s="134" t="str">
        <f>IFERROR(IF(OR(AD23=0,AD23=""),"",IF(COUNTIFS($AU$6:$AU$177,"&gt;"&amp;AU23)+COUNTIFS(AU$6:AU23,"="&amp;AU23)=0,"",COUNTIFS($AU$6:$AU$177,"&gt;"&amp;AU23)+COUNTIFS(AU$6:AU23,"="&amp;AU23)+$AO$5)),"")</f>
        <v/>
      </c>
      <c r="AQ23" s="134" t="str">
        <f>IFERROR(IF(OR(AD23=0,AD23=""),"",IF(COUNTIFS($AV$6:$AV$177,"&gt;"&amp;AV23)+COUNTIFS(AV$6:AV23,"="&amp;AV23)=0,"",COUNTIFS($AV$6:$AV$177,"&gt;"&amp;AV23)+COUNTIFS(AV$6:AV23,"="&amp;AV23)+$AP$5)),"")</f>
        <v/>
      </c>
      <c r="AR23" s="78" t="str">
        <f t="shared" si="12"/>
        <v/>
      </c>
      <c r="AS23" s="78" t="str">
        <f t="shared" si="13"/>
        <v/>
      </c>
      <c r="AT23" s="78" t="str">
        <f t="shared" si="14"/>
        <v/>
      </c>
      <c r="AU23" s="78" t="str">
        <f t="shared" si="15"/>
        <v/>
      </c>
      <c r="AV23" s="78" t="str">
        <f t="shared" si="16"/>
        <v/>
      </c>
    </row>
    <row r="24" spans="1:48" ht="16.5" customHeight="1" x14ac:dyDescent="0.3">
      <c r="A24" t="str">
        <f>IF(AD24="","",COUNTIFS($H$6:$H$120,H24,$AF$6:$AF$120,"&gt;"&amp;AF24)+COUNTIFS(H24:$H$120,H24,AF24:$AF$120,AF24))</f>
        <v/>
      </c>
      <c r="C24" t="str">
        <f t="shared" si="10"/>
        <v/>
      </c>
      <c r="D24" t="str">
        <f>IF(AG24=0,"",IF(COUNTIFS($AG$6:$AG$177,"&gt;"&amp;AG24)+COUNTIFS(AG$6:AG24,"="&amp;AG24)=0,"",COUNTIFS($AG$6:$AG$177,"&gt;"&amp;AG24)+COUNTIFS(AG$6:AG24,"="&amp;AG24)))</f>
        <v/>
      </c>
      <c r="F24" s="17" t="s">
        <v>83</v>
      </c>
      <c r="G24" s="105">
        <f>IFERROR(IF(VLOOKUP(F24,Lookups!$A$2:$F$111,2,FALSE)="","",VLOOKUP(F24,Lookups!$A$2:$F$111,2,FALSE)),"")</f>
        <v>787</v>
      </c>
      <c r="H24" s="105" t="str">
        <f>IFERROR(IF(VLOOKUP(F24,Lookups!$A$2:$F$111,3,FALSE)="","",VLOOKUP(F24,Lookups!$A$2:$F$111,3,FALSE)),"")</f>
        <v>A</v>
      </c>
      <c r="I24" s="105" t="str">
        <f>IFERROR(IF(AF24=0,"",VLOOKUP(AF24,Lookups!$K$2:$L$6,2,TRUE)),"")</f>
        <v/>
      </c>
      <c r="J24" s="105" t="str">
        <f>IF(AD24&lt;Lookups!$I$5,"Y","N")</f>
        <v>N</v>
      </c>
      <c r="K24" s="105" t="str">
        <f>IFERROR(IF(VLOOKUP(F24,Lookups!$A$2:$F$111,4,FALSE)="","",VLOOKUP(F24,Lookups!$A$2:$F$111,4,FALSE)),"")</f>
        <v>PCP</v>
      </c>
      <c r="L24" s="105" t="str">
        <f>IFERROR(IF(VLOOKUP(F24,Lookups!$A$2:$F$111,5,FALSE)="","",VLOOKUP(F24,Lookups!$A$2:$F$111,5,FALSE)),"")</f>
        <v>Buccaneers</v>
      </c>
      <c r="M24" s="106" t="str">
        <f>IFERROR(IF(VLOOKUP(F24,Lookups!$A$2:$F$111,6,FALSE)="","",VLOOKUP(F24,Lookups!$A$2:$F$111,6,FALSE)),"")</f>
        <v/>
      </c>
      <c r="N24" s="57" t="str">
        <f>IFERROR(IF(VLOOKUP(F24,Scores!$A$1:$I$99,2,FALSE)="","",VLOOKUP(F24,Scores!$A$1:$I$99,2,FALSE)),"")</f>
        <v/>
      </c>
      <c r="O24" s="58" t="str">
        <f>IFERROR(IF(VLOOKUP(F24,Scores!$A$1:$I$99,3,FALSE)="","",VLOOKUP(F24,Scores!$A$1:$I$99,3,FALSE)),"")</f>
        <v/>
      </c>
      <c r="P24" s="58" t="str">
        <f>IFERROR(IF(VLOOKUP(F24,Scores!$A$1:$I$99,4,FALSE)="","",VLOOKUP(F24,Scores!$A$1:$I$99,4,FALSE)),"")</f>
        <v/>
      </c>
      <c r="Q24" s="58" t="str">
        <f>IFERROR(IF(VLOOKUP(F24,Scores!$A$1:$I$99,5,FALSE)="","",VLOOKUP(F24,Scores!$A$1:$I$99,5,FALSE)),"")</f>
        <v/>
      </c>
      <c r="R24" s="58" t="str">
        <f>IFERROR(IF(VLOOKUP(F24,Scores!$A$1:$I$99,6,FALSE)="","",VLOOKUP(F24,Scores!$A$1:$I$99,6,FALSE)),"")</f>
        <v/>
      </c>
      <c r="S24" s="58" t="str">
        <f>IFERROR(IF(VLOOKUP(F24,Scores!$A$1:$I$99,7,FALSE)="","",VLOOKUP(F24,Scores!$A$1:$I$99,7,FALSE)),"")</f>
        <v/>
      </c>
      <c r="T24" s="58" t="str">
        <f>IFERROR(IF(VLOOKUP(F24,Scores!$A$1:$I$99,8,FALSE)="","",VLOOKUP(F24,Scores!$A$1:$I$99,8,FALSE)),"")</f>
        <v/>
      </c>
      <c r="U24" s="60" t="str">
        <f>IFERROR(IF(VLOOKUP(F24,Scores!$A$1:$I$99,9,FALSE)="","",VLOOKUP(F24,Scores!$A$1:$I$99,9,FALSE)),"")</f>
        <v/>
      </c>
      <c r="V24" s="54" t="str">
        <f t="shared" si="17"/>
        <v/>
      </c>
      <c r="W24" s="55" t="str">
        <f t="shared" si="18"/>
        <v/>
      </c>
      <c r="X24" s="55" t="str">
        <f t="shared" si="19"/>
        <v/>
      </c>
      <c r="Y24" s="55" t="str">
        <f t="shared" si="20"/>
        <v/>
      </c>
      <c r="Z24" s="55" t="str">
        <f t="shared" si="21"/>
        <v/>
      </c>
      <c r="AA24" s="55" t="str">
        <f t="shared" si="22"/>
        <v/>
      </c>
      <c r="AB24" s="55" t="str">
        <f t="shared" si="23"/>
        <v/>
      </c>
      <c r="AC24" s="56" t="str">
        <f t="shared" si="24"/>
        <v/>
      </c>
      <c r="AD24" s="79" t="str">
        <f t="shared" si="25"/>
        <v/>
      </c>
      <c r="AE24" s="59" t="str">
        <f t="shared" si="26"/>
        <v/>
      </c>
      <c r="AF24" s="55" t="str" cm="1">
        <f t="array" ref="AF24">IFERROR(IF(AD24&gt;Lookups!$I$5-1,AVERAGE(LARGE(V24:AC24,_xlfn.SEQUENCE(Lookups!$I$5))),AVERAGE(LARGE(V24:AC24,_xlfn.SEQUENCE(AD24)))),"")</f>
        <v/>
      </c>
      <c r="AG24" s="124" t="str">
        <f t="shared" si="27"/>
        <v/>
      </c>
      <c r="AH24" s="78" t="str">
        <f>IF(AD24=Lookups!$I$5+1,LARGE(V24:AC24,5),"")</f>
        <v/>
      </c>
      <c r="AI24" s="78" t="str">
        <f>IF(AD24=Lookups!$I$5+2,LARGE(V24:AC24,6),"")</f>
        <v/>
      </c>
      <c r="AJ24" s="78"/>
      <c r="AK24" s="78"/>
      <c r="AL24" s="140" t="str">
        <f t="shared" si="11"/>
        <v/>
      </c>
      <c r="AM24" s="134" t="str">
        <f>IF(OR(AD24=0,AD24=""),"",IF(COUNTIFS($AR$6:$AR$177,"&gt;"&amp;AR24)+COUNTIFS(AR$6:AR24,"="&amp;AR24)=0,"",COUNTIFS($AR$6:$AR$177,"&gt;"&amp;AR24)+COUNTIFS(AR$6:AR24,"="&amp;AR24)))</f>
        <v/>
      </c>
      <c r="AN24" s="134" t="str">
        <f>IFERROR(IF(OR(AD24=0,AD24=""),"",IF(COUNTIFS($AS$6:$AS$177,"&gt;"&amp;AS24)+COUNTIFS(AS$6:AS24,"="&amp;AS24)=0,"",COUNTIFS($AS$6:$AS$177,"&gt;"&amp;AS24)+COUNTIFS(AS$6:AS24,"="&amp;AS24)+$AM$5)),"")</f>
        <v/>
      </c>
      <c r="AO24" s="134" t="str">
        <f>IFERROR(IF(OR(AD24=0,AD24=""),"",IF(COUNTIFS($AT$6:$AT$177,"&gt;"&amp;AT24)+COUNTIFS(AT$6:AT24,"="&amp;AT24)=0,"",COUNTIFS($AT$6:$AT$177,"&gt;"&amp;AT24)+COUNTIFS(AT$6:AT24,"="&amp;AT24)+$AN$5)),"")</f>
        <v/>
      </c>
      <c r="AP24" s="134" t="str">
        <f>IFERROR(IF(OR(AD24=0,AD24=""),"",IF(COUNTIFS($AU$6:$AU$177,"&gt;"&amp;AU24)+COUNTIFS(AU$6:AU24,"="&amp;AU24)=0,"",COUNTIFS($AU$6:$AU$177,"&gt;"&amp;AU24)+COUNTIFS(AU$6:AU24,"="&amp;AU24)+$AO$5)),"")</f>
        <v/>
      </c>
      <c r="AQ24" s="134" t="str">
        <f>IFERROR(IF(OR(AD24=0,AD24=""),"",IF(COUNTIFS($AV$6:$AV$177,"&gt;"&amp;AV24)+COUNTIFS(AV$6:AV24,"="&amp;AV24)=0,"",COUNTIFS($AV$6:$AV$177,"&gt;"&amp;AV24)+COUNTIFS(AV$6:AV24,"="&amp;AV24)+$AP$5)),"")</f>
        <v/>
      </c>
      <c r="AR24" s="78" t="str">
        <f t="shared" si="12"/>
        <v/>
      </c>
      <c r="AS24" s="78" t="str">
        <f t="shared" si="13"/>
        <v/>
      </c>
      <c r="AT24" s="78" t="str">
        <f t="shared" si="14"/>
        <v/>
      </c>
      <c r="AU24" s="78" t="str">
        <f t="shared" si="15"/>
        <v/>
      </c>
      <c r="AV24" s="78" t="str">
        <f t="shared" si="16"/>
        <v/>
      </c>
    </row>
    <row r="25" spans="1:48" ht="16.5" customHeight="1" x14ac:dyDescent="0.3">
      <c r="A25" t="str">
        <f>IF(AD25="","",COUNTIFS($H$6:$H$120,H25,$AF$6:$AF$120,"&gt;"&amp;AF25)+COUNTIFS(H25:$H$120,H25,AF25:$AF$120,AF25))</f>
        <v/>
      </c>
      <c r="C25" t="str">
        <f t="shared" si="10"/>
        <v/>
      </c>
      <c r="D25" t="str">
        <f>IF(AG25=0,"",IF(COUNTIFS($AG$6:$AG$177,"&gt;"&amp;AG25)+COUNTIFS(AG$6:AG25,"="&amp;AG25)=0,"",COUNTIFS($AG$6:$AG$177,"&gt;"&amp;AG25)+COUNTIFS(AG$6:AG25,"="&amp;AG25)))</f>
        <v/>
      </c>
      <c r="F25" s="19" t="s">
        <v>80</v>
      </c>
      <c r="G25" s="105">
        <f>IFERROR(IF(VLOOKUP(F25,Lookups!$A$2:$F$111,2,FALSE)="","",VLOOKUP(F25,Lookups!$A$2:$F$111,2,FALSE)),"")</f>
        <v>1286</v>
      </c>
      <c r="H25" s="105" t="str">
        <f>IFERROR(IF(VLOOKUP(F25,Lookups!$A$2:$F$111,3,FALSE)="","",VLOOKUP(F25,Lookups!$A$2:$F$111,3,FALSE)),"")</f>
        <v>A</v>
      </c>
      <c r="I25" s="105" t="str">
        <f>IFERROR(IF(AF25=0,"",VLOOKUP(AF25,Lookups!$K$2:$L$6,2,TRUE)),"")</f>
        <v/>
      </c>
      <c r="J25" s="105" t="str">
        <f>IF(AD25&lt;Lookups!$I$5,"Y","N")</f>
        <v>N</v>
      </c>
      <c r="K25" s="105" t="str">
        <f>IFERROR(IF(VLOOKUP(F25,Lookups!$A$2:$F$111,4,FALSE)="","",VLOOKUP(F25,Lookups!$A$2:$F$111,4,FALSE)),"")</f>
        <v>PCP</v>
      </c>
      <c r="L25" s="105" t="str">
        <f>IFERROR(IF(VLOOKUP(F25,Lookups!$A$2:$F$111,5,FALSE)="","",VLOOKUP(F25,Lookups!$A$2:$F$111,5,FALSE)),"")</f>
        <v>Meon</v>
      </c>
      <c r="M25" s="106" t="str">
        <f>IFERROR(IF(VLOOKUP(F25,Lookups!$A$2:$F$111,6,FALSE)="","",VLOOKUP(F25,Lookups!$A$2:$F$111,6,FALSE)),"")</f>
        <v/>
      </c>
      <c r="N25" s="57" t="str">
        <f>IFERROR(IF(VLOOKUP(F25,Scores!$A$1:$I$99,2,FALSE)="","",VLOOKUP(F25,Scores!$A$1:$I$99,2,FALSE)),"")</f>
        <v/>
      </c>
      <c r="O25" s="58" t="str">
        <f>IFERROR(IF(VLOOKUP(F25,Scores!$A$1:$I$99,3,FALSE)="","",VLOOKUP(F25,Scores!$A$1:$I$99,3,FALSE)),"")</f>
        <v/>
      </c>
      <c r="P25" s="58" t="str">
        <f>IFERROR(IF(VLOOKUP(F25,Scores!$A$1:$I$99,4,FALSE)="","",VLOOKUP(F25,Scores!$A$1:$I$99,4,FALSE)),"")</f>
        <v/>
      </c>
      <c r="Q25" s="58" t="str">
        <f>IFERROR(IF(VLOOKUP(F25,Scores!$A$1:$I$99,5,FALSE)="","",VLOOKUP(F25,Scores!$A$1:$I$99,5,FALSE)),"")</f>
        <v/>
      </c>
      <c r="R25" s="58" t="str">
        <f>IFERROR(IF(VLOOKUP(F25,Scores!$A$1:$I$99,6,FALSE)="","",VLOOKUP(F25,Scores!$A$1:$I$99,6,FALSE)),"")</f>
        <v/>
      </c>
      <c r="S25" s="58" t="str">
        <f>IFERROR(IF(VLOOKUP(F25,Scores!$A$1:$I$99,7,FALSE)="","",VLOOKUP(F25,Scores!$A$1:$I$99,7,FALSE)),"")</f>
        <v/>
      </c>
      <c r="T25" s="58" t="str">
        <f>IFERROR(IF(VLOOKUP(F25,Scores!$A$1:$I$99,8,FALSE)="","",VLOOKUP(F25,Scores!$A$1:$I$99,8,FALSE)),"")</f>
        <v/>
      </c>
      <c r="U25" s="60" t="str">
        <f>IFERROR(IF(VLOOKUP(F25,Scores!$A$1:$I$99,9,FALSE)="","",VLOOKUP(F25,Scores!$A$1:$I$99,9,FALSE)),"")</f>
        <v/>
      </c>
      <c r="V25" s="54" t="str">
        <f t="shared" si="17"/>
        <v/>
      </c>
      <c r="W25" s="55" t="str">
        <f t="shared" si="18"/>
        <v/>
      </c>
      <c r="X25" s="55" t="str">
        <f t="shared" si="19"/>
        <v/>
      </c>
      <c r="Y25" s="55" t="str">
        <f t="shared" si="20"/>
        <v/>
      </c>
      <c r="Z25" s="55" t="str">
        <f t="shared" si="21"/>
        <v/>
      </c>
      <c r="AA25" s="55" t="str">
        <f t="shared" si="22"/>
        <v/>
      </c>
      <c r="AB25" s="55" t="str">
        <f t="shared" si="23"/>
        <v/>
      </c>
      <c r="AC25" s="56" t="str">
        <f t="shared" si="24"/>
        <v/>
      </c>
      <c r="AD25" s="79" t="str">
        <f t="shared" si="25"/>
        <v/>
      </c>
      <c r="AE25" s="59" t="str">
        <f t="shared" si="26"/>
        <v/>
      </c>
      <c r="AF25" s="55" t="str" cm="1">
        <f t="array" ref="AF25">IFERROR(IF(AD25&gt;Lookups!$I$5-1,AVERAGE(LARGE(V25:AC25,_xlfn.SEQUENCE(Lookups!$I$5))),AVERAGE(LARGE(V25:AC25,_xlfn.SEQUENCE(AD25)))),"")</f>
        <v/>
      </c>
      <c r="AG25" s="124" t="str">
        <f t="shared" si="27"/>
        <v/>
      </c>
      <c r="AH25" s="78" t="str">
        <f>IF(AD25=Lookups!$I$5+1,LARGE(V25:AC25,5),"")</f>
        <v/>
      </c>
      <c r="AI25" s="78" t="str">
        <f>IF(AD25=Lookups!$I$5+2,LARGE(V25:AC25,6),"")</f>
        <v/>
      </c>
      <c r="AJ25" s="78"/>
      <c r="AK25" s="78"/>
      <c r="AL25" s="140" t="str">
        <f t="shared" si="11"/>
        <v/>
      </c>
      <c r="AM25" s="134" t="str">
        <f>IF(OR(AD25=0,AD25=""),"",IF(COUNTIFS($AR$6:$AR$177,"&gt;"&amp;AR25)+COUNTIFS(AR$6:AR25,"="&amp;AR25)=0,"",COUNTIFS($AR$6:$AR$177,"&gt;"&amp;AR25)+COUNTIFS(AR$6:AR25,"="&amp;AR25)))</f>
        <v/>
      </c>
      <c r="AN25" s="134" t="str">
        <f>IFERROR(IF(OR(AD25=0,AD25=""),"",IF(COUNTIFS($AS$6:$AS$177,"&gt;"&amp;AS25)+COUNTIFS(AS$6:AS25,"="&amp;AS25)=0,"",COUNTIFS($AS$6:$AS$177,"&gt;"&amp;AS25)+COUNTIFS(AS$6:AS25,"="&amp;AS25)+$AM$5)),"")</f>
        <v/>
      </c>
      <c r="AO25" s="134" t="str">
        <f>IFERROR(IF(OR(AD25=0,AD25=""),"",IF(COUNTIFS($AT$6:$AT$177,"&gt;"&amp;AT25)+COUNTIFS(AT$6:AT25,"="&amp;AT25)=0,"",COUNTIFS($AT$6:$AT$177,"&gt;"&amp;AT25)+COUNTIFS(AT$6:AT25,"="&amp;AT25)+$AN$5)),"")</f>
        <v/>
      </c>
      <c r="AP25" s="134" t="str">
        <f>IFERROR(IF(OR(AD25=0,AD25=""),"",IF(COUNTIFS($AU$6:$AU$177,"&gt;"&amp;AU25)+COUNTIFS(AU$6:AU25,"="&amp;AU25)=0,"",COUNTIFS($AU$6:$AU$177,"&gt;"&amp;AU25)+COUNTIFS(AU$6:AU25,"="&amp;AU25)+$AO$5)),"")</f>
        <v/>
      </c>
      <c r="AQ25" s="134" t="str">
        <f>IFERROR(IF(OR(AD25=0,AD25=""),"",IF(COUNTIFS($AV$6:$AV$177,"&gt;"&amp;AV25)+COUNTIFS(AV$6:AV25,"="&amp;AV25)=0,"",COUNTIFS($AV$6:$AV$177,"&gt;"&amp;AV25)+COUNTIFS(AV$6:AV25,"="&amp;AV25)+$AP$5)),"")</f>
        <v/>
      </c>
      <c r="AR25" s="78" t="str">
        <f t="shared" si="12"/>
        <v/>
      </c>
      <c r="AS25" s="78" t="str">
        <f t="shared" si="13"/>
        <v/>
      </c>
      <c r="AT25" s="78" t="str">
        <f t="shared" si="14"/>
        <v/>
      </c>
      <c r="AU25" s="78" t="str">
        <f t="shared" si="15"/>
        <v/>
      </c>
      <c r="AV25" s="78" t="str">
        <f t="shared" si="16"/>
        <v/>
      </c>
    </row>
    <row r="26" spans="1:48" ht="16.5" customHeight="1" x14ac:dyDescent="0.3">
      <c r="A26" t="str">
        <f>IF(AD26="","",COUNTIFS($H$6:$H$120,H26,$AF$6:$AF$120,"&gt;"&amp;AF26)+COUNTIFS(H26:$H$120,H26,AF26:$AF$120,AF26))</f>
        <v/>
      </c>
      <c r="C26" t="str">
        <f t="shared" si="10"/>
        <v/>
      </c>
      <c r="D26" t="str">
        <f>IF(AG26=0,"",IF(COUNTIFS($AG$6:$AG$177,"&gt;"&amp;AG26)+COUNTIFS(AG$6:AG26,"="&amp;AG26)=0,"",COUNTIFS($AG$6:$AG$177,"&gt;"&amp;AG26)+COUNTIFS(AG$6:AG26,"="&amp;AG26)))</f>
        <v/>
      </c>
      <c r="F26" s="19" t="s">
        <v>8</v>
      </c>
      <c r="G26" s="105">
        <f>IFERROR(IF(VLOOKUP(F26,Lookups!$A$2:$F$111,2,FALSE)="","",VLOOKUP(F26,Lookups!$A$2:$F$111,2,FALSE)),"")</f>
        <v>1294</v>
      </c>
      <c r="H26" s="105" t="str">
        <f>IFERROR(IF(VLOOKUP(F26,Lookups!$A$2:$F$111,3,FALSE)="","",VLOOKUP(F26,Lookups!$A$2:$F$111,3,FALSE)),"")</f>
        <v>A</v>
      </c>
      <c r="I26" s="105" t="str">
        <f>IFERROR(IF(AF26=0,"",VLOOKUP(AF26,Lookups!$K$2:$L$6,2,TRUE)),"")</f>
        <v/>
      </c>
      <c r="J26" s="105" t="str">
        <f>IF(AD26&lt;Lookups!$I$5,"Y","N")</f>
        <v>N</v>
      </c>
      <c r="K26" s="105" t="str">
        <f>IFERROR(IF(VLOOKUP(F26,Lookups!$A$2:$F$111,4,FALSE)="","",VLOOKUP(F26,Lookups!$A$2:$F$111,4,FALSE)),"")</f>
        <v>PCP</v>
      </c>
      <c r="L26" s="105" t="str">
        <f>IFERROR(IF(VLOOKUP(F26,Lookups!$A$2:$F$111,5,FALSE)="","",VLOOKUP(F26,Lookups!$A$2:$F$111,5,FALSE)),"")</f>
        <v>Frobury</v>
      </c>
      <c r="M26" s="106" t="str">
        <f>IFERROR(IF(VLOOKUP(F26,Lookups!$A$2:$F$111,6,FALSE)="","",VLOOKUP(F26,Lookups!$A$2:$F$111,6,FALSE)),"")</f>
        <v>Frobury</v>
      </c>
      <c r="N26" s="57" t="str">
        <f>IFERROR(IF(VLOOKUP(F26,Scores!$A$1:$I$99,2,FALSE)="","",VLOOKUP(F26,Scores!$A$1:$I$99,2,FALSE)),"")</f>
        <v/>
      </c>
      <c r="O26" s="58" t="str">
        <f>IFERROR(IF(VLOOKUP(F26,Scores!$A$1:$I$99,3,FALSE)="","",VLOOKUP(F26,Scores!$A$1:$I$99,3,FALSE)),"")</f>
        <v/>
      </c>
      <c r="P26" s="58" t="str">
        <f>IFERROR(IF(VLOOKUP(F26,Scores!$A$1:$I$99,4,FALSE)="","",VLOOKUP(F26,Scores!$A$1:$I$99,4,FALSE)),"")</f>
        <v/>
      </c>
      <c r="Q26" s="58" t="str">
        <f>IFERROR(IF(VLOOKUP(F26,Scores!$A$1:$I$99,5,FALSE)="","",VLOOKUP(F26,Scores!$A$1:$I$99,5,FALSE)),"")</f>
        <v/>
      </c>
      <c r="R26" s="58" t="str">
        <f>IFERROR(IF(VLOOKUP(F26,Scores!$A$1:$I$99,6,FALSE)="","",VLOOKUP(F26,Scores!$A$1:$I$99,6,FALSE)),"")</f>
        <v/>
      </c>
      <c r="S26" s="58" t="str">
        <f>IFERROR(IF(VLOOKUP(F26,Scores!$A$1:$I$99,7,FALSE)="","",VLOOKUP(F26,Scores!$A$1:$I$99,7,FALSE)),"")</f>
        <v/>
      </c>
      <c r="T26" s="58" t="str">
        <f>IFERROR(IF(VLOOKUP(F26,Scores!$A$1:$I$99,8,FALSE)="","",VLOOKUP(F26,Scores!$A$1:$I$99,8,FALSE)),"")</f>
        <v/>
      </c>
      <c r="U26" s="60" t="str">
        <f>IFERROR(IF(VLOOKUP(F26,Scores!$A$1:$I$99,9,FALSE)="","",VLOOKUP(F26,Scores!$A$1:$I$99,9,FALSE)),"")</f>
        <v/>
      </c>
      <c r="V26" s="54" t="str">
        <f t="shared" si="17"/>
        <v/>
      </c>
      <c r="W26" s="55" t="str">
        <f t="shared" si="18"/>
        <v/>
      </c>
      <c r="X26" s="55" t="str">
        <f t="shared" si="19"/>
        <v/>
      </c>
      <c r="Y26" s="55" t="str">
        <f t="shared" si="20"/>
        <v/>
      </c>
      <c r="Z26" s="55" t="str">
        <f t="shared" si="21"/>
        <v/>
      </c>
      <c r="AA26" s="55" t="str">
        <f t="shared" si="22"/>
        <v/>
      </c>
      <c r="AB26" s="55" t="str">
        <f t="shared" si="23"/>
        <v/>
      </c>
      <c r="AC26" s="56" t="str">
        <f t="shared" si="24"/>
        <v/>
      </c>
      <c r="AD26" s="79" t="str">
        <f t="shared" si="25"/>
        <v/>
      </c>
      <c r="AE26" s="59" t="str">
        <f t="shared" si="26"/>
        <v/>
      </c>
      <c r="AF26" s="55" t="str" cm="1">
        <f t="array" ref="AF26">IFERROR(IF(AD26&gt;Lookups!$I$5-1,AVERAGE(LARGE(V26:AC26,_xlfn.SEQUENCE(Lookups!$I$5))),AVERAGE(LARGE(V26:AC26,_xlfn.SEQUENCE(AD26)))),"")</f>
        <v/>
      </c>
      <c r="AG26" s="124" t="str">
        <f t="shared" si="27"/>
        <v/>
      </c>
      <c r="AH26" s="78" t="str">
        <f>IF(AD26=Lookups!$I$5+1,LARGE(V26:AC26,5),"")</f>
        <v/>
      </c>
      <c r="AI26" s="78" t="str">
        <f>IF(AD26=Lookups!$I$5+2,LARGE(V26:AC26,6),"")</f>
        <v/>
      </c>
      <c r="AJ26" s="78"/>
      <c r="AK26" s="78"/>
      <c r="AL26" s="140" t="str">
        <f t="shared" si="11"/>
        <v/>
      </c>
      <c r="AM26" s="134" t="str">
        <f>IF(OR(AD26=0,AD26=""),"",IF(COUNTIFS($AR$6:$AR$177,"&gt;"&amp;AR26)+COUNTIFS(AR$6:AR26,"="&amp;AR26)=0,"",COUNTIFS($AR$6:$AR$177,"&gt;"&amp;AR26)+COUNTIFS(AR$6:AR26,"="&amp;AR26)))</f>
        <v/>
      </c>
      <c r="AN26" s="134" t="str">
        <f>IFERROR(IF(OR(AD26=0,AD26=""),"",IF(COUNTIFS($AS$6:$AS$177,"&gt;"&amp;AS26)+COUNTIFS(AS$6:AS26,"="&amp;AS26)=0,"",COUNTIFS($AS$6:$AS$177,"&gt;"&amp;AS26)+COUNTIFS(AS$6:AS26,"="&amp;AS26)+$AM$5)),"")</f>
        <v/>
      </c>
      <c r="AO26" s="134" t="str">
        <f>IFERROR(IF(OR(AD26=0,AD26=""),"",IF(COUNTIFS($AT$6:$AT$177,"&gt;"&amp;AT26)+COUNTIFS(AT$6:AT26,"="&amp;AT26)=0,"",COUNTIFS($AT$6:$AT$177,"&gt;"&amp;AT26)+COUNTIFS(AT$6:AT26,"="&amp;AT26)+$AN$5)),"")</f>
        <v/>
      </c>
      <c r="AP26" s="134" t="str">
        <f>IFERROR(IF(OR(AD26=0,AD26=""),"",IF(COUNTIFS($AU$6:$AU$177,"&gt;"&amp;AU26)+COUNTIFS(AU$6:AU26,"="&amp;AU26)=0,"",COUNTIFS($AU$6:$AU$177,"&gt;"&amp;AU26)+COUNTIFS(AU$6:AU26,"="&amp;AU26)+$AO$5)),"")</f>
        <v/>
      </c>
      <c r="AQ26" s="134" t="str">
        <f>IFERROR(IF(OR(AD26=0,AD26=""),"",IF(COUNTIFS($AV$6:$AV$177,"&gt;"&amp;AV26)+COUNTIFS(AV$6:AV26,"="&amp;AV26)=0,"",COUNTIFS($AV$6:$AV$177,"&gt;"&amp;AV26)+COUNTIFS(AV$6:AV26,"="&amp;AV26)+$AP$5)),"")</f>
        <v/>
      </c>
      <c r="AR26" s="78" t="str">
        <f t="shared" si="12"/>
        <v/>
      </c>
      <c r="AS26" s="78" t="str">
        <f t="shared" si="13"/>
        <v/>
      </c>
      <c r="AT26" s="78" t="str">
        <f t="shared" si="14"/>
        <v/>
      </c>
      <c r="AU26" s="78" t="str">
        <f t="shared" si="15"/>
        <v/>
      </c>
      <c r="AV26" s="78" t="str">
        <f t="shared" si="16"/>
        <v/>
      </c>
    </row>
    <row r="27" spans="1:48" ht="16.5" customHeight="1" x14ac:dyDescent="0.3">
      <c r="A27" t="str">
        <f>IF(AD27="","",COUNTIFS($H$6:$H$120,H27,$AF$6:$AF$120,"&gt;"&amp;AF27)+COUNTIFS(H27:$H$120,H27,AF27:$AF$120,AF27))</f>
        <v/>
      </c>
      <c r="C27" t="str">
        <f t="shared" si="10"/>
        <v/>
      </c>
      <c r="D27" t="str">
        <f>IF(AG27=0,"",IF(COUNTIFS($AG$6:$AG$177,"&gt;"&amp;AG27)+COUNTIFS(AG$6:AG27,"="&amp;AG27)=0,"",COUNTIFS($AG$6:$AG$177,"&gt;"&amp;AG27)+COUNTIFS(AG$6:AG27,"="&amp;AG27)))</f>
        <v/>
      </c>
      <c r="F27" s="17" t="s">
        <v>82</v>
      </c>
      <c r="G27" s="105">
        <f>IFERROR(IF(VLOOKUP(F27,Lookups!$A$2:$F$111,2,FALSE)="","",VLOOKUP(F27,Lookups!$A$2:$F$111,2,FALSE)),"")</f>
        <v>1302</v>
      </c>
      <c r="H27" s="105" t="str">
        <f>IFERROR(IF(VLOOKUP(F27,Lookups!$A$2:$F$111,3,FALSE)="","",VLOOKUP(F27,Lookups!$A$2:$F$111,3,FALSE)),"")</f>
        <v>A</v>
      </c>
      <c r="I27" s="105" t="str">
        <f>IFERROR(IF(AF27=0,"",VLOOKUP(AF27,Lookups!$K$2:$L$6,2,TRUE)),"")</f>
        <v/>
      </c>
      <c r="J27" s="105" t="str">
        <f>IF(AD27&lt;Lookups!$I$5,"Y","N")</f>
        <v>N</v>
      </c>
      <c r="K27" s="105" t="str">
        <f>IFERROR(IF(VLOOKUP(F27,Lookups!$A$2:$F$111,4,FALSE)="","",VLOOKUP(F27,Lookups!$A$2:$F$111,4,FALSE)),"")</f>
        <v>PCP</v>
      </c>
      <c r="L27" s="105" t="str">
        <f>IFERROR(IF(VLOOKUP(F27,Lookups!$A$2:$F$111,5,FALSE)="","",VLOOKUP(F27,Lookups!$A$2:$F$111,5,FALSE)),"")</f>
        <v>Weston Warrior</v>
      </c>
      <c r="M27" s="106" t="str">
        <f>IFERROR(IF(VLOOKUP(F27,Lookups!$A$2:$F$111,6,FALSE)="","",VLOOKUP(F27,Lookups!$A$2:$F$111,6,FALSE)),"")</f>
        <v/>
      </c>
      <c r="N27" s="57" t="str">
        <f>IFERROR(IF(VLOOKUP(F27,Scores!$A$1:$I$99,2,FALSE)="","",VLOOKUP(F27,Scores!$A$1:$I$99,2,FALSE)),"")</f>
        <v/>
      </c>
      <c r="O27" s="58" t="str">
        <f>IFERROR(IF(VLOOKUP(F27,Scores!$A$1:$I$99,3,FALSE)="","",VLOOKUP(F27,Scores!$A$1:$I$99,3,FALSE)),"")</f>
        <v/>
      </c>
      <c r="P27" s="58" t="str">
        <f>IFERROR(IF(VLOOKUP(F27,Scores!$A$1:$I$99,4,FALSE)="","",VLOOKUP(F27,Scores!$A$1:$I$99,4,FALSE)),"")</f>
        <v/>
      </c>
      <c r="Q27" s="58" t="str">
        <f>IFERROR(IF(VLOOKUP(F27,Scores!$A$1:$I$99,5,FALSE)="","",VLOOKUP(F27,Scores!$A$1:$I$99,5,FALSE)),"")</f>
        <v/>
      </c>
      <c r="R27" s="58" t="str">
        <f>IFERROR(IF(VLOOKUP(F27,Scores!$A$1:$I$99,6,FALSE)="","",VLOOKUP(F27,Scores!$A$1:$I$99,6,FALSE)),"")</f>
        <v/>
      </c>
      <c r="S27" s="58" t="str">
        <f>IFERROR(IF(VLOOKUP(F27,Scores!$A$1:$I$99,7,FALSE)="","",VLOOKUP(F27,Scores!$A$1:$I$99,7,FALSE)),"")</f>
        <v/>
      </c>
      <c r="T27" s="58" t="str">
        <f>IFERROR(IF(VLOOKUP(F27,Scores!$A$1:$I$99,8,FALSE)="","",VLOOKUP(F27,Scores!$A$1:$I$99,8,FALSE)),"")</f>
        <v/>
      </c>
      <c r="U27" s="60" t="str">
        <f>IFERROR(IF(VLOOKUP(F27,Scores!$A$1:$I$99,9,FALSE)="","",VLOOKUP(F27,Scores!$A$1:$I$99,9,FALSE)),"")</f>
        <v/>
      </c>
      <c r="V27" s="54" t="str">
        <f t="shared" si="17"/>
        <v/>
      </c>
      <c r="W27" s="55" t="str">
        <f t="shared" si="18"/>
        <v/>
      </c>
      <c r="X27" s="55" t="str">
        <f t="shared" si="19"/>
        <v/>
      </c>
      <c r="Y27" s="55" t="str">
        <f t="shared" si="20"/>
        <v/>
      </c>
      <c r="Z27" s="55" t="str">
        <f t="shared" si="21"/>
        <v/>
      </c>
      <c r="AA27" s="55" t="str">
        <f t="shared" si="22"/>
        <v/>
      </c>
      <c r="AB27" s="55" t="str">
        <f t="shared" si="23"/>
        <v/>
      </c>
      <c r="AC27" s="56" t="str">
        <f t="shared" si="24"/>
        <v/>
      </c>
      <c r="AD27" s="79" t="str">
        <f t="shared" si="25"/>
        <v/>
      </c>
      <c r="AE27" s="59" t="str">
        <f t="shared" si="26"/>
        <v/>
      </c>
      <c r="AF27" s="55" t="str" cm="1">
        <f t="array" ref="AF27">IFERROR(IF(AD27&gt;Lookups!$I$5-1,AVERAGE(LARGE(V27:AC27,_xlfn.SEQUENCE(Lookups!$I$5))),AVERAGE(LARGE(V27:AC27,_xlfn.SEQUENCE(AD27)))),"")</f>
        <v/>
      </c>
      <c r="AG27" s="124" t="str">
        <f t="shared" si="27"/>
        <v/>
      </c>
      <c r="AH27" s="78" t="str">
        <f>IF(AD27=Lookups!$I$5+1,LARGE(V27:AC27,5),"")</f>
        <v/>
      </c>
      <c r="AI27" s="78" t="str">
        <f>IF(AD27=Lookups!$I$5+2,LARGE(V27:AC27,6),"")</f>
        <v/>
      </c>
      <c r="AJ27" s="78"/>
      <c r="AK27" s="78"/>
      <c r="AL27" s="140" t="str">
        <f t="shared" si="11"/>
        <v/>
      </c>
      <c r="AM27" s="134" t="str">
        <f>IF(OR(AD27=0,AD27=""),"",IF(COUNTIFS($AR$6:$AR$177,"&gt;"&amp;AR27)+COUNTIFS(AR$6:AR27,"="&amp;AR27)=0,"",COUNTIFS($AR$6:$AR$177,"&gt;"&amp;AR27)+COUNTIFS(AR$6:AR27,"="&amp;AR27)))</f>
        <v/>
      </c>
      <c r="AN27" s="134" t="str">
        <f>IFERROR(IF(OR(AD27=0,AD27=""),"",IF(COUNTIFS($AS$6:$AS$177,"&gt;"&amp;AS27)+COUNTIFS(AS$6:AS27,"="&amp;AS27)=0,"",COUNTIFS($AS$6:$AS$177,"&gt;"&amp;AS27)+COUNTIFS(AS$6:AS27,"="&amp;AS27)+$AM$5)),"")</f>
        <v/>
      </c>
      <c r="AO27" s="134" t="str">
        <f>IFERROR(IF(OR(AD27=0,AD27=""),"",IF(COUNTIFS($AT$6:$AT$177,"&gt;"&amp;AT27)+COUNTIFS(AT$6:AT27,"="&amp;AT27)=0,"",COUNTIFS($AT$6:$AT$177,"&gt;"&amp;AT27)+COUNTIFS(AT$6:AT27,"="&amp;AT27)+$AN$5)),"")</f>
        <v/>
      </c>
      <c r="AP27" s="134" t="str">
        <f>IFERROR(IF(OR(AD27=0,AD27=""),"",IF(COUNTIFS($AU$6:$AU$177,"&gt;"&amp;AU27)+COUNTIFS(AU$6:AU27,"="&amp;AU27)=0,"",COUNTIFS($AU$6:$AU$177,"&gt;"&amp;AU27)+COUNTIFS(AU$6:AU27,"="&amp;AU27)+$AO$5)),"")</f>
        <v/>
      </c>
      <c r="AQ27" s="134" t="str">
        <f>IFERROR(IF(OR(AD27=0,AD27=""),"",IF(COUNTIFS($AV$6:$AV$177,"&gt;"&amp;AV27)+COUNTIFS(AV$6:AV27,"="&amp;AV27)=0,"",COUNTIFS($AV$6:$AV$177,"&gt;"&amp;AV27)+COUNTIFS(AV$6:AV27,"="&amp;AV27)+$AP$5)),"")</f>
        <v/>
      </c>
      <c r="AR27" s="78" t="str">
        <f t="shared" si="12"/>
        <v/>
      </c>
      <c r="AS27" s="78" t="str">
        <f t="shared" si="13"/>
        <v/>
      </c>
      <c r="AT27" s="78" t="str">
        <f t="shared" si="14"/>
        <v/>
      </c>
      <c r="AU27" s="78" t="str">
        <f t="shared" si="15"/>
        <v/>
      </c>
      <c r="AV27" s="78" t="str">
        <f t="shared" si="16"/>
        <v/>
      </c>
    </row>
    <row r="28" spans="1:48" ht="16.5" customHeight="1" x14ac:dyDescent="0.3">
      <c r="A28" t="str">
        <f>IF(AD28="","",COUNTIFS($H$6:$H$120,H28,$AF$6:$AF$120,"&gt;"&amp;AF28)+COUNTIFS(H28:$H$120,H28,AF28:$AF$120,AF28))</f>
        <v/>
      </c>
      <c r="C28" t="str">
        <f t="shared" si="10"/>
        <v/>
      </c>
      <c r="D28" t="str">
        <f>IF(AG28=0,"",IF(COUNTIFS($AG$6:$AG$177,"&gt;"&amp;AG28)+COUNTIFS(AG$6:AG28,"="&amp;AG28)=0,"",COUNTIFS($AG$6:$AG$177,"&gt;"&amp;AG28)+COUNTIFS(AG$6:AG28,"="&amp;AG28)))</f>
        <v/>
      </c>
      <c r="F28" s="19"/>
      <c r="G28" s="105" t="str">
        <f>IFERROR(IF(VLOOKUP(F28,Lookups!$A$2:$F$111,2,FALSE)="","",VLOOKUP(F28,Lookups!$A$2:$F$111,2,FALSE)),"")</f>
        <v/>
      </c>
      <c r="H28" s="105" t="str">
        <f>IFERROR(IF(VLOOKUP(F28,Lookups!$A$2:$F$111,3,FALSE)="","",VLOOKUP(F28,Lookups!$A$2:$F$111,3,FALSE)),"")</f>
        <v/>
      </c>
      <c r="I28" s="105" t="str">
        <f>IFERROR(IF(AF28=0,"",VLOOKUP(AF28,Lookups!$K$2:$L$6,2,TRUE)),"")</f>
        <v/>
      </c>
      <c r="J28" s="105" t="str">
        <f>IF(AD28&lt;Lookups!$I$5,"Y","N")</f>
        <v>N</v>
      </c>
      <c r="K28" s="105" t="str">
        <f>IFERROR(IF(VLOOKUP(F28,Lookups!$A$2:$F$111,4,FALSE)="","",VLOOKUP(F28,Lookups!$A$2:$F$111,4,FALSE)),"")</f>
        <v/>
      </c>
      <c r="L28" s="105" t="str">
        <f>IFERROR(IF(VLOOKUP(F28,Lookups!$A$2:$F$111,5,FALSE)="","",VLOOKUP(F28,Lookups!$A$2:$F$111,5,FALSE)),"")</f>
        <v/>
      </c>
      <c r="M28" s="106" t="str">
        <f>IFERROR(IF(VLOOKUP(F28,Lookups!$A$2:$F$111,6,FALSE)="","",VLOOKUP(F28,Lookups!$A$2:$F$111,6,FALSE)),"")</f>
        <v/>
      </c>
      <c r="N28" s="57" t="str">
        <f>IFERROR(IF(VLOOKUP(F28,Scores!$A$1:$I$99,2,FALSE)="","",VLOOKUP(F28,Scores!$A$1:$I$99,2,FALSE)),"")</f>
        <v/>
      </c>
      <c r="O28" s="58" t="str">
        <f>IFERROR(IF(VLOOKUP(F28,Scores!$A$1:$I$99,3,FALSE)="","",VLOOKUP(F28,Scores!$A$1:$I$99,3,FALSE)),"")</f>
        <v/>
      </c>
      <c r="P28" s="58" t="str">
        <f>IFERROR(IF(VLOOKUP(F28,Scores!$A$1:$I$99,4,FALSE)="","",VLOOKUP(F28,Scores!$A$1:$I$99,4,FALSE)),"")</f>
        <v/>
      </c>
      <c r="Q28" s="58" t="str">
        <f>IFERROR(IF(VLOOKUP(F28,Scores!$A$1:$I$99,5,FALSE)="","",VLOOKUP(F28,Scores!$A$1:$I$99,5,FALSE)),"")</f>
        <v/>
      </c>
      <c r="R28" s="58" t="str">
        <f>IFERROR(IF(VLOOKUP(F28,Scores!$A$1:$I$99,6,FALSE)="","",VLOOKUP(F28,Scores!$A$1:$I$99,6,FALSE)),"")</f>
        <v/>
      </c>
      <c r="S28" s="58" t="str">
        <f>IFERROR(IF(VLOOKUP(F28,Scores!$A$1:$I$99,7,FALSE)="","",VLOOKUP(F28,Scores!$A$1:$I$99,7,FALSE)),"")</f>
        <v/>
      </c>
      <c r="T28" s="58" t="str">
        <f>IFERROR(IF(VLOOKUP(F28,Scores!$A$1:$I$99,8,FALSE)="","",VLOOKUP(F28,Scores!$A$1:$I$99,8,FALSE)),"")</f>
        <v/>
      </c>
      <c r="U28" s="60" t="str">
        <f>IFERROR(IF(VLOOKUP(F28,Scores!$A$1:$I$99,9,FALSE)="","",VLOOKUP(F28,Scores!$A$1:$I$99,9,FALSE)),"")</f>
        <v/>
      </c>
      <c r="V28" s="54" t="str">
        <f t="shared" si="17"/>
        <v/>
      </c>
      <c r="W28" s="55" t="str">
        <f t="shared" si="18"/>
        <v/>
      </c>
      <c r="X28" s="55" t="str">
        <f t="shared" si="19"/>
        <v/>
      </c>
      <c r="Y28" s="55" t="str">
        <f t="shared" si="20"/>
        <v/>
      </c>
      <c r="Z28" s="55" t="str">
        <f t="shared" si="21"/>
        <v/>
      </c>
      <c r="AA28" s="55" t="str">
        <f t="shared" si="22"/>
        <v/>
      </c>
      <c r="AB28" s="55" t="str">
        <f t="shared" si="23"/>
        <v/>
      </c>
      <c r="AC28" s="56" t="str">
        <f t="shared" si="24"/>
        <v/>
      </c>
      <c r="AD28" s="79" t="str">
        <f t="shared" si="25"/>
        <v/>
      </c>
      <c r="AE28" s="59" t="str">
        <f t="shared" si="26"/>
        <v/>
      </c>
      <c r="AF28" s="55" t="str" cm="1">
        <f t="array" ref="AF28">IFERROR(IF(AD28&gt;Lookups!$I$5-1,AVERAGE(LARGE(V28:AC28,_xlfn.SEQUENCE(Lookups!$I$5))),AVERAGE(LARGE(V28:AC28,_xlfn.SEQUENCE(AD28)))),"")</f>
        <v/>
      </c>
      <c r="AG28" s="124" t="str">
        <f t="shared" si="27"/>
        <v/>
      </c>
      <c r="AH28" s="78" t="str">
        <f>IF(AD28=Lookups!$I$5+1,LARGE(V28:AC28,5),"")</f>
        <v/>
      </c>
      <c r="AI28" s="78" t="str">
        <f>IF(AD28=Lookups!$I$5+2,LARGE(V28:AC28,6),"")</f>
        <v/>
      </c>
      <c r="AJ28" s="78"/>
      <c r="AK28" s="78"/>
      <c r="AL28" s="140" t="str">
        <f t="shared" si="11"/>
        <v/>
      </c>
      <c r="AM28" s="134" t="str">
        <f>IF(OR(AD28=0,AD28=""),"",IF(COUNTIFS($AR$6:$AR$177,"&gt;"&amp;AR28)+COUNTIFS(AR$6:AR28,"="&amp;AR28)=0,"",COUNTIFS($AR$6:$AR$177,"&gt;"&amp;AR28)+COUNTIFS(AR$6:AR28,"="&amp;AR28)))</f>
        <v/>
      </c>
      <c r="AN28" s="134" t="str">
        <f>IFERROR(IF(OR(AD28=0,AD28=""),"",IF(COUNTIFS($AS$6:$AS$177,"&gt;"&amp;AS28)+COUNTIFS(AS$6:AS28,"="&amp;AS28)=0,"",COUNTIFS($AS$6:$AS$177,"&gt;"&amp;AS28)+COUNTIFS(AS$6:AS28,"="&amp;AS28)+$AM$5)),"")</f>
        <v/>
      </c>
      <c r="AO28" s="134" t="str">
        <f>IFERROR(IF(OR(AD28=0,AD28=""),"",IF(COUNTIFS($AT$6:$AT$177,"&gt;"&amp;AT28)+COUNTIFS(AT$6:AT28,"="&amp;AT28)=0,"",COUNTIFS($AT$6:$AT$177,"&gt;"&amp;AT28)+COUNTIFS(AT$6:AT28,"="&amp;AT28)+$AN$5)),"")</f>
        <v/>
      </c>
      <c r="AP28" s="134" t="str">
        <f>IFERROR(IF(OR(AD28=0,AD28=""),"",IF(COUNTIFS($AU$6:$AU$177,"&gt;"&amp;AU28)+COUNTIFS(AU$6:AU28,"="&amp;AU28)=0,"",COUNTIFS($AU$6:$AU$177,"&gt;"&amp;AU28)+COUNTIFS(AU$6:AU28,"="&amp;AU28)+$AO$5)),"")</f>
        <v/>
      </c>
      <c r="AQ28" s="134" t="str">
        <f>IFERROR(IF(OR(AD28=0,AD28=""),"",IF(COUNTIFS($AV$6:$AV$177,"&gt;"&amp;AV28)+COUNTIFS(AV$6:AV28,"="&amp;AV28)=0,"",COUNTIFS($AV$6:$AV$177,"&gt;"&amp;AV28)+COUNTIFS(AV$6:AV28,"="&amp;AV28)+$AP$5)),"")</f>
        <v/>
      </c>
      <c r="AR28" s="78" t="str">
        <f t="shared" si="12"/>
        <v/>
      </c>
      <c r="AS28" s="78" t="str">
        <f t="shared" si="13"/>
        <v/>
      </c>
      <c r="AT28" s="78" t="str">
        <f t="shared" si="14"/>
        <v/>
      </c>
      <c r="AU28" s="78" t="str">
        <f t="shared" si="15"/>
        <v/>
      </c>
      <c r="AV28" s="78" t="str">
        <f t="shared" si="16"/>
        <v/>
      </c>
    </row>
    <row r="29" spans="1:48" ht="16.5" customHeight="1" x14ac:dyDescent="0.3">
      <c r="A29">
        <f>IF(AD29="","",COUNTIFS($H$6:$H$120,H29,$AF$6:$AF$120,"&gt;"&amp;AF29)+COUNTIFS(H29:$H$120,H29,AF29:$AF$120,AF29))</f>
        <v>5</v>
      </c>
      <c r="C29">
        <f t="shared" si="10"/>
        <v>18</v>
      </c>
      <c r="D29">
        <f>IF(AG29=0,"",IF(COUNTIFS($AG$6:$AG$177,"&gt;"&amp;AG29)+COUNTIFS(AG$6:AG29,"="&amp;AG29)=0,"",COUNTIFS($AG$6:$AG$177,"&gt;"&amp;AG29)+COUNTIFS(AG$6:AG29,"="&amp;AG29)))</f>
        <v>12</v>
      </c>
      <c r="F29" s="19" t="s">
        <v>19</v>
      </c>
      <c r="G29" s="105">
        <f>IFERROR(IF(VLOOKUP(F29,Lookups!$A$2:$F$111,2,FALSE)="","",VLOOKUP(F29,Lookups!$A$2:$F$111,2,FALSE)),"")</f>
        <v>59</v>
      </c>
      <c r="H29" s="105" t="str">
        <f>IFERROR(IF(VLOOKUP(F29,Lookups!$A$2:$F$111,3,FALSE)="","",VLOOKUP(F29,Lookups!$A$2:$F$111,3,FALSE)),"")</f>
        <v>A</v>
      </c>
      <c r="I29" s="105" t="str">
        <f>IFERROR(IF(AF29=0,"",VLOOKUP(AF29,Lookups!$K$2:$L$6,2,TRUE)),"")</f>
        <v>B</v>
      </c>
      <c r="J29" s="105" t="str">
        <f>IF(AD29&lt;Lookups!$I$5,"Y","N")</f>
        <v>N</v>
      </c>
      <c r="K29" s="105" t="str">
        <f>IFERROR(IF(VLOOKUP(F29,Lookups!$A$2:$F$111,4,FALSE)="","",VLOOKUP(F29,Lookups!$A$2:$F$111,4,FALSE)),"")</f>
        <v>PCP</v>
      </c>
      <c r="L29" s="105" t="str">
        <f>IFERROR(IF(VLOOKUP(F29,Lookups!$A$2:$F$111,5,FALSE)="","",VLOOKUP(F29,Lookups!$A$2:$F$111,5,FALSE)),"")</f>
        <v>Frobury</v>
      </c>
      <c r="M29" s="106" t="str">
        <f>IFERROR(IF(VLOOKUP(F29,Lookups!$A$2:$F$111,6,FALSE)="","",VLOOKUP(F29,Lookups!$A$2:$F$111,6,FALSE)),"")</f>
        <v>Frobury</v>
      </c>
      <c r="N29" s="57">
        <f>IFERROR(IF(VLOOKUP(F29,Scores!$A$1:$I$99,2,FALSE)="","",VLOOKUP(F29,Scores!$A$1:$I$99,2,FALSE)),"")</f>
        <v>26</v>
      </c>
      <c r="O29" s="58">
        <f>IFERROR(IF(VLOOKUP(F29,Scores!$A$1:$I$99,3,FALSE)="","",VLOOKUP(F29,Scores!$A$1:$I$99,3,FALSE)),"")</f>
        <v>26</v>
      </c>
      <c r="P29" s="58">
        <f>IFERROR(IF(VLOOKUP(F29,Scores!$A$1:$I$99,4,FALSE)="","",VLOOKUP(F29,Scores!$A$1:$I$99,4,FALSE)),"")</f>
        <v>27</v>
      </c>
      <c r="Q29" s="58">
        <f>IFERROR(IF(VLOOKUP(F29,Scores!$A$1:$I$99,5,FALSE)="","",VLOOKUP(F29,Scores!$A$1:$I$99,5,FALSE)),"")</f>
        <v>23</v>
      </c>
      <c r="R29" s="58">
        <f>IFERROR(IF(VLOOKUP(F29,Scores!$A$1:$I$99,6,FALSE)="","",VLOOKUP(F29,Scores!$A$1:$I$99,6,FALSE)),"")</f>
        <v>29</v>
      </c>
      <c r="S29" s="58">
        <f>IFERROR(IF(VLOOKUP(F29,Scores!$A$1:$I$99,7,FALSE)="","",VLOOKUP(F29,Scores!$A$1:$I$99,7,FALSE)),"")</f>
        <v>25</v>
      </c>
      <c r="T29" s="58" t="str">
        <f>IFERROR(IF(VLOOKUP(F29,Scores!$A$1:$I$99,8,FALSE)="","",VLOOKUP(F29,Scores!$A$1:$I$99,8,FALSE)),"")</f>
        <v/>
      </c>
      <c r="U29" s="60" t="str">
        <f>IFERROR(IF(VLOOKUP(F29,Scores!$A$1:$I$99,9,FALSE)="","",VLOOKUP(F29,Scores!$A$1:$I$99,9,FALSE)),"")</f>
        <v/>
      </c>
      <c r="V29" s="54">
        <f t="shared" si="17"/>
        <v>0.70270270270270274</v>
      </c>
      <c r="W29" s="55">
        <f t="shared" si="18"/>
        <v>0.83870967741935487</v>
      </c>
      <c r="X29" s="55">
        <f t="shared" si="19"/>
        <v>0.72972972972972971</v>
      </c>
      <c r="Y29" s="55">
        <f t="shared" si="20"/>
        <v>0.63888888888888884</v>
      </c>
      <c r="Z29" s="55">
        <f t="shared" si="21"/>
        <v>0.76315789473684215</v>
      </c>
      <c r="AA29" s="55">
        <f t="shared" si="22"/>
        <v>0.67567567567567566</v>
      </c>
      <c r="AB29" s="55" t="str">
        <f t="shared" si="23"/>
        <v/>
      </c>
      <c r="AC29" s="56" t="str">
        <f t="shared" si="24"/>
        <v/>
      </c>
      <c r="AD29" s="79">
        <f t="shared" si="25"/>
        <v>6</v>
      </c>
      <c r="AE29" s="59">
        <f t="shared" si="26"/>
        <v>0.72481076152553225</v>
      </c>
      <c r="AF29" s="55" cm="1">
        <f t="array" ref="AF29">IFERROR(IF(AD29&gt;Lookups!$I$5-1,AVERAGE(LARGE(V29:AC29,_xlfn.SEQUENCE(Lookups!$I$5))),AVERAGE(LARGE(V29:AC29,_xlfn.SEQUENCE(AD29)))),"")</f>
        <v>0.75857500114715737</v>
      </c>
      <c r="AG29" s="124">
        <f t="shared" si="27"/>
        <v>156</v>
      </c>
      <c r="AH29" s="78" t="str">
        <f>IF(AD29=Lookups!$I$5+1,LARGE(V29:AC29,5),"")</f>
        <v/>
      </c>
      <c r="AI29" s="78">
        <f>IF(AD29=Lookups!$I$5+2,LARGE(V29:AC29,6),"")</f>
        <v>0.63888888888888884</v>
      </c>
      <c r="AJ29" s="78"/>
      <c r="AK29" s="78"/>
      <c r="AL29" s="140">
        <f t="shared" si="11"/>
        <v>18</v>
      </c>
      <c r="AM29" s="134">
        <f>IF(OR(AD29=0,AD29=""),"",IF(COUNTIFS($AR$6:$AR$177,"&gt;"&amp;AR29)+COUNTIFS(AR$6:AR29,"="&amp;AR29)=0,"",COUNTIFS($AR$6:$AR$177,"&gt;"&amp;AR29)+COUNTIFS(AR$6:AR29,"="&amp;AR29)))</f>
        <v>18</v>
      </c>
      <c r="AN29" s="134" t="str">
        <f>IFERROR(IF(OR(AD29=0,AD29=""),"",IF(COUNTIFS($AS$6:$AS$177,"&gt;"&amp;AS29)+COUNTIFS(AS$6:AS29,"="&amp;AS29)=0,"",COUNTIFS($AS$6:$AS$177,"&gt;"&amp;AS29)+COUNTIFS(AS$6:AS29,"="&amp;AS29)+$AM$5)),"")</f>
        <v/>
      </c>
      <c r="AO29" s="134" t="str">
        <f>IFERROR(IF(OR(AD29=0,AD29=""),"",IF(COUNTIFS($AT$6:$AT$177,"&gt;"&amp;AT29)+COUNTIFS(AT$6:AT29,"="&amp;AT29)=0,"",COUNTIFS($AT$6:$AT$177,"&gt;"&amp;AT29)+COUNTIFS(AT$6:AT29,"="&amp;AT29)+$AN$5)),"")</f>
        <v/>
      </c>
      <c r="AP29" s="134" t="str">
        <f>IFERROR(IF(OR(AD29=0,AD29=""),"",IF(COUNTIFS($AU$6:$AU$177,"&gt;"&amp;AU29)+COUNTIFS(AU$6:AU29,"="&amp;AU29)=0,"",COUNTIFS($AU$6:$AU$177,"&gt;"&amp;AU29)+COUNTIFS(AU$6:AU29,"="&amp;AU29)+$AO$5)),"")</f>
        <v/>
      </c>
      <c r="AQ29" s="134" t="str">
        <f>IFERROR(IF(OR(AD29=0,AD29=""),"",IF(COUNTIFS($AV$6:$AV$177,"&gt;"&amp;AV29)+COUNTIFS(AV$6:AV29,"="&amp;AV29)=0,"",COUNTIFS($AV$6:$AV$177,"&gt;"&amp;AV29)+COUNTIFS(AV$6:AV29,"="&amp;AV29)+$AP$5)),"")</f>
        <v/>
      </c>
      <c r="AR29" s="78">
        <f t="shared" si="12"/>
        <v>0.75857500114715737</v>
      </c>
      <c r="AS29" s="78" t="str">
        <f t="shared" si="13"/>
        <v/>
      </c>
      <c r="AT29" s="78" t="str">
        <f t="shared" si="14"/>
        <v/>
      </c>
      <c r="AU29" s="78" t="str">
        <f t="shared" si="15"/>
        <v/>
      </c>
      <c r="AV29" s="78" t="str">
        <f t="shared" si="16"/>
        <v/>
      </c>
    </row>
    <row r="30" spans="1:48" ht="16.5" customHeight="1" x14ac:dyDescent="0.3">
      <c r="A30">
        <f>IF(AD30="","",COUNTIFS($H$6:$H$120,H30,$AF$6:$AF$120,"&gt;"&amp;AF30)+COUNTIFS(H30:$H$120,H30,AF30:$AF$120,AF30))</f>
        <v>2</v>
      </c>
      <c r="C30">
        <f t="shared" si="10"/>
        <v>12</v>
      </c>
      <c r="D30">
        <f>IF(AG30=0,"",IF(COUNTIFS($AG$6:$AG$177,"&gt;"&amp;AG30)+COUNTIFS(AG$6:AG30,"="&amp;AG30)=0,"",COUNTIFS($AG$6:$AG$177,"&gt;"&amp;AG30)+COUNTIFS(AG$6:AG30,"="&amp;AG30)))</f>
        <v>7</v>
      </c>
      <c r="F30" s="19" t="s">
        <v>13</v>
      </c>
      <c r="G30" s="105">
        <f>IFERROR(IF(VLOOKUP(F30,Lookups!$A$2:$F$111,2,FALSE)="","",VLOOKUP(F30,Lookups!$A$2:$F$111,2,FALSE)),"")</f>
        <v>447</v>
      </c>
      <c r="H30" s="105" t="str">
        <f>IFERROR(IF(VLOOKUP(F30,Lookups!$A$2:$F$111,3,FALSE)="","",VLOOKUP(F30,Lookups!$A$2:$F$111,3,FALSE)),"")</f>
        <v>A</v>
      </c>
      <c r="I30" s="105" t="str">
        <f>IFERROR(IF(AF30=0,"",VLOOKUP(AF30,Lookups!$K$2:$L$6,2,TRUE)),"")</f>
        <v>A</v>
      </c>
      <c r="J30" s="105" t="str">
        <f>IF(AD30&lt;Lookups!$I$5,"Y","N")</f>
        <v>N</v>
      </c>
      <c r="K30" s="105" t="str">
        <f>IFERROR(IF(VLOOKUP(F30,Lookups!$A$2:$F$111,4,FALSE)="","",VLOOKUP(F30,Lookups!$A$2:$F$111,4,FALSE)),"")</f>
        <v>PCP</v>
      </c>
      <c r="L30" s="105" t="str">
        <f>IFERROR(IF(VLOOKUP(F30,Lookups!$A$2:$F$111,5,FALSE)="","",VLOOKUP(F30,Lookups!$A$2:$F$111,5,FALSE)),"")</f>
        <v>Weston Warrior</v>
      </c>
      <c r="M30" s="106" t="str">
        <f>IFERROR(IF(VLOOKUP(F30,Lookups!$A$2:$F$111,6,FALSE)="","",VLOOKUP(F30,Lookups!$A$2:$F$111,6,FALSE)),"")</f>
        <v>Weston Warriors</v>
      </c>
      <c r="N30" s="57">
        <f>IFERROR(IF(VLOOKUP(F30,Scores!$A$1:$I$99,2,FALSE)="","",VLOOKUP(F30,Scores!$A$1:$I$99,2,FALSE)),"")</f>
        <v>29</v>
      </c>
      <c r="O30" s="58">
        <f>IFERROR(IF(VLOOKUP(F30,Scores!$A$1:$I$99,3,FALSE)="","",VLOOKUP(F30,Scores!$A$1:$I$99,3,FALSE)),"")</f>
        <v>24</v>
      </c>
      <c r="P30" s="58">
        <f>IFERROR(IF(VLOOKUP(F30,Scores!$A$1:$I$99,4,FALSE)="","",VLOOKUP(F30,Scores!$A$1:$I$99,4,FALSE)),"")</f>
        <v>30</v>
      </c>
      <c r="Q30" s="58">
        <f>IFERROR(IF(VLOOKUP(F30,Scores!$A$1:$I$99,5,FALSE)="","",VLOOKUP(F30,Scores!$A$1:$I$99,5,FALSE)),"")</f>
        <v>29</v>
      </c>
      <c r="R30" s="58">
        <f>IFERROR(IF(VLOOKUP(F30,Scores!$A$1:$I$99,6,FALSE)="","",VLOOKUP(F30,Scores!$A$1:$I$99,6,FALSE)),"")</f>
        <v>30</v>
      </c>
      <c r="S30" s="58">
        <f>IFERROR(IF(VLOOKUP(F30,Scores!$A$1:$I$99,7,FALSE)="","",VLOOKUP(F30,Scores!$A$1:$I$99,7,FALSE)),"")</f>
        <v>30</v>
      </c>
      <c r="T30" s="58" t="str">
        <f>IFERROR(IF(VLOOKUP(F30,Scores!$A$1:$I$99,8,FALSE)="","",VLOOKUP(F30,Scores!$A$1:$I$99,8,FALSE)),"")</f>
        <v/>
      </c>
      <c r="U30" s="60" t="str">
        <f>IFERROR(IF(VLOOKUP(F30,Scores!$A$1:$I$99,9,FALSE)="","",VLOOKUP(F30,Scores!$A$1:$I$99,9,FALSE)),"")</f>
        <v/>
      </c>
      <c r="V30" s="54">
        <f t="shared" si="17"/>
        <v>0.78378378378378377</v>
      </c>
      <c r="W30" s="55">
        <f t="shared" si="18"/>
        <v>0.77419354838709675</v>
      </c>
      <c r="X30" s="55">
        <f t="shared" si="19"/>
        <v>0.81081081081081086</v>
      </c>
      <c r="Y30" s="55">
        <f t="shared" si="20"/>
        <v>0.80555555555555558</v>
      </c>
      <c r="Z30" s="55">
        <f t="shared" si="21"/>
        <v>0.78947368421052633</v>
      </c>
      <c r="AA30" s="55">
        <f t="shared" si="22"/>
        <v>0.81081081081081086</v>
      </c>
      <c r="AB30" s="55" t="str">
        <f t="shared" si="23"/>
        <v/>
      </c>
      <c r="AC30" s="56" t="str">
        <f t="shared" si="24"/>
        <v/>
      </c>
      <c r="AD30" s="79">
        <f t="shared" si="25"/>
        <v>6</v>
      </c>
      <c r="AE30" s="59">
        <f t="shared" si="26"/>
        <v>0.79577136559309736</v>
      </c>
      <c r="AF30" s="55" cm="1">
        <f t="array" ref="AF30">IFERROR(IF(AD30&gt;Lookups!$I$5-1,AVERAGE(LARGE(V30:AC30,_xlfn.SEQUENCE(Lookups!$I$5))),AVERAGE(LARGE(V30:AC30,_xlfn.SEQUENCE(AD30)))),"")</f>
        <v>0.80416271534692596</v>
      </c>
      <c r="AG30" s="124">
        <f t="shared" si="27"/>
        <v>172</v>
      </c>
      <c r="AH30" s="78" t="str">
        <f>IF(AD30=Lookups!$I$5+1,LARGE(V30:AC30,5),"")</f>
        <v/>
      </c>
      <c r="AI30" s="78">
        <f>IF(AD30=Lookups!$I$5+2,LARGE(V30:AC30,6),"")</f>
        <v>0.77419354838709675</v>
      </c>
      <c r="AJ30" s="78"/>
      <c r="AK30" s="78"/>
      <c r="AL30" s="140">
        <f t="shared" si="11"/>
        <v>12</v>
      </c>
      <c r="AM30" s="134">
        <f>IF(OR(AD30=0,AD30=""),"",IF(COUNTIFS($AR$6:$AR$177,"&gt;"&amp;AR30)+COUNTIFS(AR$6:AR30,"="&amp;AR30)=0,"",COUNTIFS($AR$6:$AR$177,"&gt;"&amp;AR30)+COUNTIFS(AR$6:AR30,"="&amp;AR30)))</f>
        <v>12</v>
      </c>
      <c r="AN30" s="134" t="str">
        <f>IFERROR(IF(OR(AD30=0,AD30=""),"",IF(COUNTIFS($AS$6:$AS$177,"&gt;"&amp;AS30)+COUNTIFS(AS$6:AS30,"="&amp;AS30)=0,"",COUNTIFS($AS$6:$AS$177,"&gt;"&amp;AS30)+COUNTIFS(AS$6:AS30,"="&amp;AS30)+$AM$5)),"")</f>
        <v/>
      </c>
      <c r="AO30" s="134" t="str">
        <f>IFERROR(IF(OR(AD30=0,AD30=""),"",IF(COUNTIFS($AT$6:$AT$177,"&gt;"&amp;AT30)+COUNTIFS(AT$6:AT30,"="&amp;AT30)=0,"",COUNTIFS($AT$6:$AT$177,"&gt;"&amp;AT30)+COUNTIFS(AT$6:AT30,"="&amp;AT30)+$AN$5)),"")</f>
        <v/>
      </c>
      <c r="AP30" s="134" t="str">
        <f>IFERROR(IF(OR(AD30=0,AD30=""),"",IF(COUNTIFS($AU$6:$AU$177,"&gt;"&amp;AU30)+COUNTIFS(AU$6:AU30,"="&amp;AU30)=0,"",COUNTIFS($AU$6:$AU$177,"&gt;"&amp;AU30)+COUNTIFS(AU$6:AU30,"="&amp;AU30)+$AO$5)),"")</f>
        <v/>
      </c>
      <c r="AQ30" s="134" t="str">
        <f>IFERROR(IF(OR(AD30=0,AD30=""),"",IF(COUNTIFS($AV$6:$AV$177,"&gt;"&amp;AV30)+COUNTIFS(AV$6:AV30,"="&amp;AV30)=0,"",COUNTIFS($AV$6:$AV$177,"&gt;"&amp;AV30)+COUNTIFS(AV$6:AV30,"="&amp;AV30)+$AP$5)),"")</f>
        <v/>
      </c>
      <c r="AR30" s="78">
        <f t="shared" si="12"/>
        <v>0.80416271534692596</v>
      </c>
      <c r="AS30" s="78" t="str">
        <f t="shared" si="13"/>
        <v/>
      </c>
      <c r="AT30" s="78" t="str">
        <f t="shared" si="14"/>
        <v/>
      </c>
      <c r="AU30" s="78" t="str">
        <f t="shared" si="15"/>
        <v/>
      </c>
      <c r="AV30" s="78" t="str">
        <f t="shared" si="16"/>
        <v/>
      </c>
    </row>
    <row r="31" spans="1:48" ht="16.5" customHeight="1" x14ac:dyDescent="0.3">
      <c r="A31">
        <f>IF(AD31="","",COUNTIFS($H$6:$H$120,H31,$AF$6:$AF$120,"&gt;"&amp;AF31)+COUNTIFS(H31:$H$120,H31,AF31:$AF$120,AF31))</f>
        <v>3</v>
      </c>
      <c r="C31">
        <f t="shared" si="10"/>
        <v>36</v>
      </c>
      <c r="D31">
        <f>IF(AG31=0,"",IF(COUNTIFS($AG$6:$AG$177,"&gt;"&amp;AG31)+COUNTIFS(AG$6:AG31,"="&amp;AG31)=0,"",COUNTIFS($AG$6:$AG$177,"&gt;"&amp;AG31)+COUNTIFS(AG$6:AG31,"="&amp;AG31)))</f>
        <v>34</v>
      </c>
      <c r="F31" s="19" t="s">
        <v>20</v>
      </c>
      <c r="G31" s="105">
        <f>IFERROR(IF(VLOOKUP(F31,Lookups!$A$2:$F$111,2,FALSE)="","",VLOOKUP(F31,Lookups!$A$2:$F$111,2,FALSE)),"")</f>
        <v>1881</v>
      </c>
      <c r="H31" s="105" t="str">
        <f>IFERROR(IF(VLOOKUP(F31,Lookups!$A$2:$F$111,3,FALSE)="","",VLOOKUP(F31,Lookups!$A$2:$F$111,3,FALSE)),"")</f>
        <v>A</v>
      </c>
      <c r="I31" s="105" t="str">
        <f>IFERROR(IF(AF31=0,"",VLOOKUP(AF31,Lookups!$K$2:$L$6,2,TRUE)),"")</f>
        <v>A</v>
      </c>
      <c r="J31" s="105" t="str">
        <f>IF(AD31&lt;Lookups!$I$5,"Y","N")</f>
        <v>Y</v>
      </c>
      <c r="K31" s="105" t="str">
        <f>IFERROR(IF(VLOOKUP(F31,Lookups!$A$2:$F$111,4,FALSE)="","",VLOOKUP(F31,Lookups!$A$2:$F$111,4,FALSE)),"")</f>
        <v>PCP</v>
      </c>
      <c r="L31" s="105" t="str">
        <f>IFERROR(IF(VLOOKUP(F31,Lookups!$A$2:$F$111,5,FALSE)="","",VLOOKUP(F31,Lookups!$A$2:$F$111,5,FALSE)),"")</f>
        <v>Meon</v>
      </c>
      <c r="M31" s="106" t="str">
        <f>IFERROR(IF(VLOOKUP(F31,Lookups!$A$2:$F$111,6,FALSE)="","",VLOOKUP(F31,Lookups!$A$2:$F$111,6,FALSE)),"")</f>
        <v>Meon</v>
      </c>
      <c r="N31" s="57">
        <f>IFERROR(IF(VLOOKUP(F31,Scores!$A$1:$I$99,2,FALSE)="","",VLOOKUP(F31,Scores!$A$1:$I$99,2,FALSE)),"")</f>
        <v>28</v>
      </c>
      <c r="O31" s="58" t="str">
        <f>IFERROR(IF(VLOOKUP(F31,Scores!$A$1:$I$99,3,FALSE)="","",VLOOKUP(F31,Scores!$A$1:$I$99,3,FALSE)),"")</f>
        <v/>
      </c>
      <c r="P31" s="58">
        <f>IFERROR(IF(VLOOKUP(F31,Scores!$A$1:$I$99,4,FALSE)="","",VLOOKUP(F31,Scores!$A$1:$I$99,4,FALSE)),"")</f>
        <v>31</v>
      </c>
      <c r="Q31" s="58" t="str">
        <f>IFERROR(IF(VLOOKUP(F31,Scores!$A$1:$I$99,5,FALSE)="","",VLOOKUP(F31,Scores!$A$1:$I$99,5,FALSE)),"")</f>
        <v/>
      </c>
      <c r="R31" s="58" t="str">
        <f>IFERROR(IF(VLOOKUP(F31,Scores!$A$1:$I$99,6,FALSE)="","",VLOOKUP(F31,Scores!$A$1:$I$99,6,FALSE)),"")</f>
        <v/>
      </c>
      <c r="S31" s="58" t="str">
        <f>IFERROR(IF(VLOOKUP(F31,Scores!$A$1:$I$99,7,FALSE)="","",VLOOKUP(F31,Scores!$A$1:$I$99,7,FALSE)),"")</f>
        <v/>
      </c>
      <c r="T31" s="58" t="str">
        <f>IFERROR(IF(VLOOKUP(F31,Scores!$A$1:$I$99,8,FALSE)="","",VLOOKUP(F31,Scores!$A$1:$I$99,8,FALSE)),"")</f>
        <v/>
      </c>
      <c r="U31" s="60" t="str">
        <f>IFERROR(IF(VLOOKUP(F31,Scores!$A$1:$I$99,9,FALSE)="","",VLOOKUP(F31,Scores!$A$1:$I$99,9,FALSE)),"")</f>
        <v/>
      </c>
      <c r="V31" s="54">
        <f t="shared" si="17"/>
        <v>0.7567567567567568</v>
      </c>
      <c r="W31" s="55" t="str">
        <f t="shared" si="18"/>
        <v/>
      </c>
      <c r="X31" s="55">
        <f t="shared" si="19"/>
        <v>0.83783783783783783</v>
      </c>
      <c r="Y31" s="55" t="str">
        <f t="shared" si="20"/>
        <v/>
      </c>
      <c r="Z31" s="55" t="str">
        <f t="shared" si="21"/>
        <v/>
      </c>
      <c r="AA31" s="55" t="str">
        <f t="shared" si="22"/>
        <v/>
      </c>
      <c r="AB31" s="55" t="str">
        <f t="shared" si="23"/>
        <v/>
      </c>
      <c r="AC31" s="56" t="str">
        <f t="shared" si="24"/>
        <v/>
      </c>
      <c r="AD31" s="79">
        <f t="shared" si="25"/>
        <v>2</v>
      </c>
      <c r="AE31" s="59">
        <f t="shared" si="26"/>
        <v>0.79729729729729737</v>
      </c>
      <c r="AF31" s="55" cm="1">
        <f t="array" ref="AF31">IFERROR(IF(AD31&gt;Lookups!$I$5-1,AVERAGE(LARGE(V31:AC31,_xlfn.SEQUENCE(Lookups!$I$5))),AVERAGE(LARGE(V31:AC31,_xlfn.SEQUENCE(AD31)))),"")</f>
        <v>0.79729729729729737</v>
      </c>
      <c r="AG31" s="124">
        <f t="shared" si="27"/>
        <v>59</v>
      </c>
      <c r="AH31" s="78" t="str">
        <f>IF(AD31=Lookups!$I$5+1,LARGE(V31:AC31,5),"")</f>
        <v/>
      </c>
      <c r="AI31" s="78" t="str">
        <f>IF(AD31=Lookups!$I$5+2,LARGE(V31:AC31,6),"")</f>
        <v/>
      </c>
      <c r="AJ31" s="78"/>
      <c r="AK31" s="78"/>
      <c r="AL31" s="140">
        <f t="shared" si="11"/>
        <v>36</v>
      </c>
      <c r="AM31" s="134" t="str">
        <f>IF(OR(AD31=0,AD31=""),"",IF(COUNTIFS($AR$6:$AR$177,"&gt;"&amp;AR31)+COUNTIFS(AR$6:AR31,"="&amp;AR31)=0,"",COUNTIFS($AR$6:$AR$177,"&gt;"&amp;AR31)+COUNTIFS(AR$6:AR31,"="&amp;AR31)))</f>
        <v/>
      </c>
      <c r="AN31" s="134" t="str">
        <f>IFERROR(IF(OR(AD31=0,AD31=""),"",IF(COUNTIFS($AS$6:$AS$177,"&gt;"&amp;AS31)+COUNTIFS(AS$6:AS31,"="&amp;AS31)=0,"",COUNTIFS($AS$6:$AS$177,"&gt;"&amp;AS31)+COUNTIFS(AS$6:AS31,"="&amp;AS31)+$AM$5)),"")</f>
        <v/>
      </c>
      <c r="AO31" s="134">
        <f>IFERROR(IF(OR(AD31=0,AD31=""),"",IF(COUNTIFS($AT$6:$AT$177,"&gt;"&amp;AT31)+COUNTIFS(AT$6:AT31,"="&amp;AT31)=0,"",COUNTIFS($AT$6:$AT$177,"&gt;"&amp;AT31)+COUNTIFS(AT$6:AT31,"="&amp;AT31)+$AN$5)),"")</f>
        <v>36</v>
      </c>
      <c r="AP31" s="134" t="str">
        <f>IFERROR(IF(OR(AD31=0,AD31=""),"",IF(COUNTIFS($AU$6:$AU$177,"&gt;"&amp;AU31)+COUNTIFS(AU$6:AU31,"="&amp;AU31)=0,"",COUNTIFS($AU$6:$AU$177,"&gt;"&amp;AU31)+COUNTIFS(AU$6:AU31,"="&amp;AU31)+$AO$5)),"")</f>
        <v/>
      </c>
      <c r="AQ31" s="134" t="str">
        <f>IFERROR(IF(OR(AD31=0,AD31=""),"",IF(COUNTIFS($AV$6:$AV$177,"&gt;"&amp;AV31)+COUNTIFS(AV$6:AV31,"="&amp;AV31)=0,"",COUNTIFS($AV$6:$AV$177,"&gt;"&amp;AV31)+COUNTIFS(AV$6:AV31,"="&amp;AV31)+$AP$5)),"")</f>
        <v/>
      </c>
      <c r="AR31" s="78" t="str">
        <f t="shared" si="12"/>
        <v/>
      </c>
      <c r="AS31" s="78" t="str">
        <f t="shared" si="13"/>
        <v/>
      </c>
      <c r="AT31" s="78">
        <f t="shared" si="14"/>
        <v>0.79729729729729737</v>
      </c>
      <c r="AU31" s="78" t="str">
        <f t="shared" si="15"/>
        <v/>
      </c>
      <c r="AV31" s="78" t="str">
        <f t="shared" si="16"/>
        <v/>
      </c>
    </row>
    <row r="32" spans="1:48" ht="16.5" customHeight="1" x14ac:dyDescent="0.3">
      <c r="A32">
        <f>IF(AD32="","",COUNTIFS($H$6:$H$120,H32,$AF$6:$AF$120,"&gt;"&amp;AF32)+COUNTIFS(H32:$H$120,H32,AF32:$AF$120,AF32))</f>
        <v>1</v>
      </c>
      <c r="C32">
        <f t="shared" si="10"/>
        <v>5</v>
      </c>
      <c r="D32">
        <f>IF(AG32=0,"",IF(COUNTIFS($AG$6:$AG$177,"&gt;"&amp;AG32)+COUNTIFS(AG$6:AG32,"="&amp;AG32)=0,"",COUNTIFS($AG$6:$AG$177,"&gt;"&amp;AG32)+COUNTIFS(AG$6:AG32,"="&amp;AG32)))</f>
        <v>2</v>
      </c>
      <c r="F32" s="21" t="s">
        <v>16</v>
      </c>
      <c r="G32" s="105" t="str">
        <f>IFERROR(IF(VLOOKUP(F32,Lookups!$A$2:$F$111,2,FALSE)="","",VLOOKUP(F32,Lookups!$A$2:$F$111,2,FALSE)),"")</f>
        <v/>
      </c>
      <c r="H32" s="105" t="str">
        <f>IFERROR(IF(VLOOKUP(F32,Lookups!$A$2:$F$111,3,FALSE)="","",VLOOKUP(F32,Lookups!$A$2:$F$111,3,FALSE)),"")</f>
        <v>A</v>
      </c>
      <c r="I32" s="105" t="str">
        <f>IFERROR(IF(AF32=0,"",VLOOKUP(AF32,Lookups!$K$2:$L$6,2,TRUE)),"")</f>
        <v>AA</v>
      </c>
      <c r="J32" s="105" t="str">
        <f>IF(AD32&lt;Lookups!$I$5,"Y","N")</f>
        <v>N</v>
      </c>
      <c r="K32" s="105" t="str">
        <f>IFERROR(IF(VLOOKUP(F32,Lookups!$A$2:$F$111,4,FALSE)="","",VLOOKUP(F32,Lookups!$A$2:$F$111,4,FALSE)),"")</f>
        <v>PCP</v>
      </c>
      <c r="L32" s="105" t="str">
        <f>IFERROR(IF(VLOOKUP(F32,Lookups!$A$2:$F$111,5,FALSE)="","",VLOOKUP(F32,Lookups!$A$2:$F$111,5,FALSE)),"")</f>
        <v>Weston Warrior</v>
      </c>
      <c r="M32" s="106" t="str">
        <f>IFERROR(IF(VLOOKUP(F32,Lookups!$A$2:$F$111,6,FALSE)="","",VLOOKUP(F32,Lookups!$A$2:$F$111,6,FALSE)),"")</f>
        <v>Weston Warriors</v>
      </c>
      <c r="N32" s="57">
        <f>IFERROR(IF(VLOOKUP(F32,Scores!$A$1:$I$99,2,FALSE)="","",VLOOKUP(F32,Scores!$A$1:$I$99,2,FALSE)),"")</f>
        <v>34</v>
      </c>
      <c r="O32" s="58">
        <f>IFERROR(IF(VLOOKUP(F32,Scores!$A$1:$I$99,3,FALSE)="","",VLOOKUP(F32,Scores!$A$1:$I$99,3,FALSE)),"")</f>
        <v>29</v>
      </c>
      <c r="P32" s="58">
        <f>IFERROR(IF(VLOOKUP(F32,Scores!$A$1:$I$99,4,FALSE)="","",VLOOKUP(F32,Scores!$A$1:$I$99,4,FALSE)),"")</f>
        <v>34</v>
      </c>
      <c r="Q32" s="58">
        <f>IFERROR(IF(VLOOKUP(F32,Scores!$A$1:$I$99,5,FALSE)="","",VLOOKUP(F32,Scores!$A$1:$I$99,5,FALSE)),"")</f>
        <v>32</v>
      </c>
      <c r="R32" s="58">
        <f>IFERROR(IF(VLOOKUP(F32,Scores!$A$1:$I$99,6,FALSE)="","",VLOOKUP(F32,Scores!$A$1:$I$99,6,FALSE)),"")</f>
        <v>37</v>
      </c>
      <c r="S32" s="58">
        <f>IFERROR(IF(VLOOKUP(F32,Scores!$A$1:$I$99,7,FALSE)="","",VLOOKUP(F32,Scores!$A$1:$I$99,7,FALSE)),"")</f>
        <v>34</v>
      </c>
      <c r="T32" s="58" t="str">
        <f>IFERROR(IF(VLOOKUP(F32,Scores!$A$1:$I$99,8,FALSE)="","",VLOOKUP(F32,Scores!$A$1:$I$99,8,FALSE)),"")</f>
        <v/>
      </c>
      <c r="U32" s="60" t="str">
        <f>IFERROR(IF(VLOOKUP(F32,Scores!$A$1:$I$99,9,FALSE)="","",VLOOKUP(F32,Scores!$A$1:$I$99,9,FALSE)),"")</f>
        <v/>
      </c>
      <c r="V32" s="54">
        <f t="shared" si="17"/>
        <v>0.91891891891891897</v>
      </c>
      <c r="W32" s="55">
        <f t="shared" si="18"/>
        <v>0.93548387096774188</v>
      </c>
      <c r="X32" s="55">
        <f t="shared" si="19"/>
        <v>0.91891891891891897</v>
      </c>
      <c r="Y32" s="55">
        <f t="shared" si="20"/>
        <v>0.88888888888888884</v>
      </c>
      <c r="Z32" s="55">
        <f t="shared" si="21"/>
        <v>0.97368421052631582</v>
      </c>
      <c r="AA32" s="55">
        <f t="shared" si="22"/>
        <v>0.91891891891891897</v>
      </c>
      <c r="AB32" s="55" t="str">
        <f t="shared" si="23"/>
        <v/>
      </c>
      <c r="AC32" s="56" t="str">
        <f t="shared" si="24"/>
        <v/>
      </c>
      <c r="AD32" s="79">
        <f t="shared" si="25"/>
        <v>6</v>
      </c>
      <c r="AE32" s="59">
        <f t="shared" si="26"/>
        <v>0.92580228785661722</v>
      </c>
      <c r="AF32" s="55" cm="1">
        <f t="array" ref="AF32">IFERROR(IF(AD32&gt;Lookups!$I$5-1,AVERAGE(LARGE(V32:AC32,_xlfn.SEQUENCE(Lookups!$I$5))),AVERAGE(LARGE(V32:AC32,_xlfn.SEQUENCE(AD32)))),"")</f>
        <v>0.93675147983297391</v>
      </c>
      <c r="AG32" s="124">
        <f t="shared" si="27"/>
        <v>200</v>
      </c>
      <c r="AH32" s="78" t="str">
        <f>IF(AD32=Lookups!$I$5+1,LARGE(V32:AC32,5),"")</f>
        <v/>
      </c>
      <c r="AI32" s="78">
        <f>IF(AD32=Lookups!$I$5+2,LARGE(V32:AC32,6),"")</f>
        <v>0.88888888888888884</v>
      </c>
      <c r="AJ32" s="78"/>
      <c r="AK32" s="78"/>
      <c r="AL32" s="140">
        <f t="shared" si="11"/>
        <v>5</v>
      </c>
      <c r="AM32" s="134">
        <f>IF(OR(AD32=0,AD32=""),"",IF(COUNTIFS($AR$6:$AR$177,"&gt;"&amp;AR32)+COUNTIFS(AR$6:AR32,"="&amp;AR32)=0,"",COUNTIFS($AR$6:$AR$177,"&gt;"&amp;AR32)+COUNTIFS(AR$6:AR32,"="&amp;AR32)))</f>
        <v>5</v>
      </c>
      <c r="AN32" s="134" t="str">
        <f>IFERROR(IF(OR(AD32=0,AD32=""),"",IF(COUNTIFS($AS$6:$AS$177,"&gt;"&amp;AS32)+COUNTIFS(AS$6:AS32,"="&amp;AS32)=0,"",COUNTIFS($AS$6:$AS$177,"&gt;"&amp;AS32)+COUNTIFS(AS$6:AS32,"="&amp;AS32)+$AM$5)),"")</f>
        <v/>
      </c>
      <c r="AO32" s="134" t="str">
        <f>IFERROR(IF(OR(AD32=0,AD32=""),"",IF(COUNTIFS($AT$6:$AT$177,"&gt;"&amp;AT32)+COUNTIFS(AT$6:AT32,"="&amp;AT32)=0,"",COUNTIFS($AT$6:$AT$177,"&gt;"&amp;AT32)+COUNTIFS(AT$6:AT32,"="&amp;AT32)+$AN$5)),"")</f>
        <v/>
      </c>
      <c r="AP32" s="134" t="str">
        <f>IFERROR(IF(OR(AD32=0,AD32=""),"",IF(COUNTIFS($AU$6:$AU$177,"&gt;"&amp;AU32)+COUNTIFS(AU$6:AU32,"="&amp;AU32)=0,"",COUNTIFS($AU$6:$AU$177,"&gt;"&amp;AU32)+COUNTIFS(AU$6:AU32,"="&amp;AU32)+$AO$5)),"")</f>
        <v/>
      </c>
      <c r="AQ32" s="134" t="str">
        <f>IFERROR(IF(OR(AD32=0,AD32=""),"",IF(COUNTIFS($AV$6:$AV$177,"&gt;"&amp;AV32)+COUNTIFS(AV$6:AV32,"="&amp;AV32)=0,"",COUNTIFS($AV$6:$AV$177,"&gt;"&amp;AV32)+COUNTIFS(AV$6:AV32,"="&amp;AV32)+$AP$5)),"")</f>
        <v/>
      </c>
      <c r="AR32" s="78">
        <f t="shared" si="12"/>
        <v>0.93675147983297391</v>
      </c>
      <c r="AS32" s="78" t="str">
        <f t="shared" si="13"/>
        <v/>
      </c>
      <c r="AT32" s="78" t="str">
        <f t="shared" si="14"/>
        <v/>
      </c>
      <c r="AU32" s="78" t="str">
        <f t="shared" si="15"/>
        <v/>
      </c>
      <c r="AV32" s="78" t="str">
        <f t="shared" si="16"/>
        <v/>
      </c>
    </row>
    <row r="33" spans="1:48" ht="16.5" customHeight="1" x14ac:dyDescent="0.3">
      <c r="A33">
        <f>IF(AD33="","",COUNTIFS($H$6:$H$120,H33,$AF$6:$AF$120,"&gt;"&amp;AF33)+COUNTIFS(H33:$H$120,H33,AF33:$AF$120,AF33))</f>
        <v>4</v>
      </c>
      <c r="C33">
        <f t="shared" si="10"/>
        <v>17</v>
      </c>
      <c r="D33">
        <f>IF(AG33=0,"",IF(COUNTIFS($AG$6:$AG$177,"&gt;"&amp;AG33)+COUNTIFS(AG$6:AG33,"="&amp;AG33)=0,"",COUNTIFS($AG$6:$AG$177,"&gt;"&amp;AG33)+COUNTIFS(AG$6:AG33,"="&amp;AG33)))</f>
        <v>13</v>
      </c>
      <c r="F33" s="19" t="s">
        <v>68</v>
      </c>
      <c r="G33" s="105">
        <f>IFERROR(IF(VLOOKUP(F33,Lookups!$A$2:$F$111,2,FALSE)="","",VLOOKUP(F33,Lookups!$A$2:$F$111,2,FALSE)),"")</f>
        <v>1916</v>
      </c>
      <c r="H33" s="105" t="str">
        <f>IFERROR(IF(VLOOKUP(F33,Lookups!$A$2:$F$111,3,FALSE)="","",VLOOKUP(F33,Lookups!$A$2:$F$111,3,FALSE)),"")</f>
        <v>A</v>
      </c>
      <c r="I33" s="105" t="str">
        <f>IFERROR(IF(AF33=0,"",VLOOKUP(AF33,Lookups!$K$2:$L$6,2,TRUE)),"")</f>
        <v>A</v>
      </c>
      <c r="J33" s="105" t="str">
        <f>IF(AD33&lt;Lookups!$I$5,"Y","N")</f>
        <v>N</v>
      </c>
      <c r="K33" s="105" t="str">
        <f>IFERROR(IF(VLOOKUP(F33,Lookups!$A$2:$F$111,4,FALSE)="","",VLOOKUP(F33,Lookups!$A$2:$F$111,4,FALSE)),"")</f>
        <v>PCP</v>
      </c>
      <c r="L33" s="105" t="str">
        <f>IFERROR(IF(VLOOKUP(F33,Lookups!$A$2:$F$111,5,FALSE)="","",VLOOKUP(F33,Lookups!$A$2:$F$111,5,FALSE)),"")</f>
        <v>Carisbrooke</v>
      </c>
      <c r="M33" s="106" t="str">
        <f>IFERROR(IF(VLOOKUP(F33,Lookups!$A$2:$F$111,6,FALSE)="","",VLOOKUP(F33,Lookups!$A$2:$F$111,6,FALSE)),"")</f>
        <v>Carisbrooke Raptors</v>
      </c>
      <c r="N33" s="57">
        <f>IFERROR(IF(VLOOKUP(F33,Scores!$A$1:$I$99,2,FALSE)="","",VLOOKUP(F33,Scores!$A$1:$I$99,2,FALSE)),"")</f>
        <v>27</v>
      </c>
      <c r="O33" s="58">
        <f>IFERROR(IF(VLOOKUP(F33,Scores!$A$1:$I$99,3,FALSE)="","",VLOOKUP(F33,Scores!$A$1:$I$99,3,FALSE)),"")</f>
        <v>26</v>
      </c>
      <c r="P33" s="58">
        <f>IFERROR(IF(VLOOKUP(F33,Scores!$A$1:$I$99,4,FALSE)="","",VLOOKUP(F33,Scores!$A$1:$I$99,4,FALSE)),"")</f>
        <v>27</v>
      </c>
      <c r="Q33" s="58">
        <f>IFERROR(IF(VLOOKUP(F33,Scores!$A$1:$I$99,5,FALSE)="","",VLOOKUP(F33,Scores!$A$1:$I$99,5,FALSE)),"")</f>
        <v>23</v>
      </c>
      <c r="R33" s="58">
        <f>IFERROR(IF(VLOOKUP(F33,Scores!$A$1:$I$99,6,FALSE)="","",VLOOKUP(F33,Scores!$A$1:$I$99,6,FALSE)),"")</f>
        <v>21</v>
      </c>
      <c r="S33" s="58">
        <f>IFERROR(IF(VLOOKUP(F33,Scores!$A$1:$I$99,7,FALSE)="","",VLOOKUP(F33,Scores!$A$1:$I$99,7,FALSE)),"")</f>
        <v>28</v>
      </c>
      <c r="T33" s="58" t="str">
        <f>IFERROR(IF(VLOOKUP(F33,Scores!$A$1:$I$99,8,FALSE)="","",VLOOKUP(F33,Scores!$A$1:$I$99,8,FALSE)),"")</f>
        <v/>
      </c>
      <c r="U33" s="60" t="str">
        <f>IFERROR(IF(VLOOKUP(F33,Scores!$A$1:$I$99,9,FALSE)="","",VLOOKUP(F33,Scores!$A$1:$I$99,9,FALSE)),"")</f>
        <v/>
      </c>
      <c r="V33" s="54">
        <f t="shared" si="17"/>
        <v>0.72972972972972971</v>
      </c>
      <c r="W33" s="55">
        <f t="shared" si="18"/>
        <v>0.83870967741935487</v>
      </c>
      <c r="X33" s="55">
        <f t="shared" si="19"/>
        <v>0.72972972972972971</v>
      </c>
      <c r="Y33" s="55">
        <f t="shared" si="20"/>
        <v>0.63888888888888884</v>
      </c>
      <c r="Z33" s="55">
        <f t="shared" si="21"/>
        <v>0.55263157894736847</v>
      </c>
      <c r="AA33" s="55">
        <f t="shared" si="22"/>
        <v>0.7567567567567568</v>
      </c>
      <c r="AB33" s="55" t="str">
        <f t="shared" si="23"/>
        <v/>
      </c>
      <c r="AC33" s="56" t="str">
        <f t="shared" si="24"/>
        <v/>
      </c>
      <c r="AD33" s="79">
        <f t="shared" si="25"/>
        <v>6</v>
      </c>
      <c r="AE33" s="59">
        <f t="shared" si="26"/>
        <v>0.7077410602453047</v>
      </c>
      <c r="AF33" s="55" cm="1">
        <f t="array" ref="AF33">IFERROR(IF(AD33&gt;Lookups!$I$5-1,AVERAGE(LARGE(V33:AC33,_xlfn.SEQUENCE(Lookups!$I$5))),AVERAGE(LARGE(V33:AC33,_xlfn.SEQUENCE(AD33)))),"")</f>
        <v>0.7637314734088928</v>
      </c>
      <c r="AG33" s="124">
        <f t="shared" si="27"/>
        <v>152</v>
      </c>
      <c r="AH33" s="78" t="str">
        <f>IF(AD33=Lookups!$I$5+1,LARGE(V33:AC33,5),"")</f>
        <v/>
      </c>
      <c r="AI33" s="78">
        <f>IF(AD33=Lookups!$I$5+2,LARGE(V33:AC33,6),"")</f>
        <v>0.55263157894736847</v>
      </c>
      <c r="AJ33" s="78"/>
      <c r="AK33" s="78"/>
      <c r="AL33" s="140">
        <f t="shared" si="11"/>
        <v>17</v>
      </c>
      <c r="AM33" s="134">
        <f>IF(OR(AD33=0,AD33=""),"",IF(COUNTIFS($AR$6:$AR$177,"&gt;"&amp;AR33)+COUNTIFS(AR$6:AR33,"="&amp;AR33)=0,"",COUNTIFS($AR$6:$AR$177,"&gt;"&amp;AR33)+COUNTIFS(AR$6:AR33,"="&amp;AR33)))</f>
        <v>17</v>
      </c>
      <c r="AN33" s="134" t="str">
        <f>IFERROR(IF(OR(AD33=0,AD33=""),"",IF(COUNTIFS($AS$6:$AS$177,"&gt;"&amp;AS33)+COUNTIFS(AS$6:AS33,"="&amp;AS33)=0,"",COUNTIFS($AS$6:$AS$177,"&gt;"&amp;AS33)+COUNTIFS(AS$6:AS33,"="&amp;AS33)+$AM$5)),"")</f>
        <v/>
      </c>
      <c r="AO33" s="134" t="str">
        <f>IFERROR(IF(OR(AD33=0,AD33=""),"",IF(COUNTIFS($AT$6:$AT$177,"&gt;"&amp;AT33)+COUNTIFS(AT$6:AT33,"="&amp;AT33)=0,"",COUNTIFS($AT$6:$AT$177,"&gt;"&amp;AT33)+COUNTIFS(AT$6:AT33,"="&amp;AT33)+$AN$5)),"")</f>
        <v/>
      </c>
      <c r="AP33" s="134" t="str">
        <f>IFERROR(IF(OR(AD33=0,AD33=""),"",IF(COUNTIFS($AU$6:$AU$177,"&gt;"&amp;AU33)+COUNTIFS(AU$6:AU33,"="&amp;AU33)=0,"",COUNTIFS($AU$6:$AU$177,"&gt;"&amp;AU33)+COUNTIFS(AU$6:AU33,"="&amp;AU33)+$AO$5)),"")</f>
        <v/>
      </c>
      <c r="AQ33" s="134" t="str">
        <f>IFERROR(IF(OR(AD33=0,AD33=""),"",IF(COUNTIFS($AV$6:$AV$177,"&gt;"&amp;AV33)+COUNTIFS(AV$6:AV33,"="&amp;AV33)=0,"",COUNTIFS($AV$6:$AV$177,"&gt;"&amp;AV33)+COUNTIFS(AV$6:AV33,"="&amp;AV33)+$AP$5)),"")</f>
        <v/>
      </c>
      <c r="AR33" s="78">
        <f t="shared" si="12"/>
        <v>0.7637314734088928</v>
      </c>
      <c r="AS33" s="78" t="str">
        <f t="shared" si="13"/>
        <v/>
      </c>
      <c r="AT33" s="78" t="str">
        <f t="shared" si="14"/>
        <v/>
      </c>
      <c r="AU33" s="78" t="str">
        <f t="shared" si="15"/>
        <v/>
      </c>
      <c r="AV33" s="78" t="str">
        <f t="shared" si="16"/>
        <v/>
      </c>
    </row>
    <row r="34" spans="1:48" ht="16.5" customHeight="1" x14ac:dyDescent="0.3">
      <c r="A34" t="str">
        <f>IF(AD34="","",COUNTIFS($H$6:$H$120,H34,$AF$6:$AF$120,"&gt;"&amp;AF34)+COUNTIFS(H34:$H$120,H34,AF34:$AF$120,AF34))</f>
        <v/>
      </c>
      <c r="C34" t="str">
        <f t="shared" si="10"/>
        <v/>
      </c>
      <c r="D34" t="str">
        <f>IF(AG34=0,"",IF(COUNTIFS($AG$6:$AG$177,"&gt;"&amp;AG34)+COUNTIFS(AG$6:AG34,"="&amp;AG34)=0,"",COUNTIFS($AG$6:$AG$177,"&gt;"&amp;AG34)+COUNTIFS(AG$6:AG34,"="&amp;AG34)))</f>
        <v/>
      </c>
      <c r="F34" s="19"/>
      <c r="G34" s="105" t="str">
        <f>IFERROR(IF(VLOOKUP(F34,Lookups!$A$2:$F$111,2,FALSE)="","",VLOOKUP(F34,Lookups!$A$2:$F$111,2,FALSE)),"")</f>
        <v/>
      </c>
      <c r="H34" s="105" t="str">
        <f>IFERROR(IF(VLOOKUP(F34,Lookups!$A$2:$F$111,3,FALSE)="","",VLOOKUP(F34,Lookups!$A$2:$F$111,3,FALSE)),"")</f>
        <v/>
      </c>
      <c r="I34" s="105" t="str">
        <f>IFERROR(IF(AF34=0,"",VLOOKUP(AF34,Lookups!$K$2:$L$6,2,TRUE)),"")</f>
        <v/>
      </c>
      <c r="J34" s="105" t="str">
        <f>IF(AD34&lt;Lookups!$I$5,"Y","N")</f>
        <v>N</v>
      </c>
      <c r="K34" s="105" t="str">
        <f>IFERROR(IF(VLOOKUP(F34,Lookups!$A$2:$F$111,4,FALSE)="","",VLOOKUP(F34,Lookups!$A$2:$F$111,4,FALSE)),"")</f>
        <v/>
      </c>
      <c r="L34" s="105" t="str">
        <f>IFERROR(IF(VLOOKUP(F34,Lookups!$A$2:$F$111,5,FALSE)="","",VLOOKUP(F34,Lookups!$A$2:$F$111,5,FALSE)),"")</f>
        <v/>
      </c>
      <c r="M34" s="106" t="str">
        <f>IFERROR(IF(VLOOKUP(F34,Lookups!$A$2:$F$111,6,FALSE)="","",VLOOKUP(F34,Lookups!$A$2:$F$111,6,FALSE)),"")</f>
        <v/>
      </c>
      <c r="N34" s="57" t="str">
        <f>IFERROR(IF(VLOOKUP(F34,Scores!$A$1:$I$99,2,FALSE)="","",VLOOKUP(F34,Scores!$A$1:$I$99,2,FALSE)),"")</f>
        <v/>
      </c>
      <c r="O34" s="58" t="str">
        <f>IFERROR(IF(VLOOKUP(F34,Scores!$A$1:$I$99,3,FALSE)="","",VLOOKUP(F34,Scores!$A$1:$I$99,3,FALSE)),"")</f>
        <v/>
      </c>
      <c r="P34" s="58" t="str">
        <f>IFERROR(IF(VLOOKUP(F34,Scores!$A$1:$I$99,4,FALSE)="","",VLOOKUP(F34,Scores!$A$1:$I$99,4,FALSE)),"")</f>
        <v/>
      </c>
      <c r="Q34" s="58" t="str">
        <f>IFERROR(IF(VLOOKUP(F34,Scores!$A$1:$I$99,5,FALSE)="","",VLOOKUP(F34,Scores!$A$1:$I$99,5,FALSE)),"")</f>
        <v/>
      </c>
      <c r="R34" s="58" t="str">
        <f>IFERROR(IF(VLOOKUP(F34,Scores!$A$1:$I$99,6,FALSE)="","",VLOOKUP(F34,Scores!$A$1:$I$99,6,FALSE)),"")</f>
        <v/>
      </c>
      <c r="S34" s="58" t="str">
        <f>IFERROR(IF(VLOOKUP(F34,Scores!$A$1:$I$99,7,FALSE)="","",VLOOKUP(F34,Scores!$A$1:$I$99,7,FALSE)),"")</f>
        <v/>
      </c>
      <c r="T34" s="58" t="str">
        <f>IFERROR(IF(VLOOKUP(F34,Scores!$A$1:$I$99,8,FALSE)="","",VLOOKUP(F34,Scores!$A$1:$I$99,8,FALSE)),"")</f>
        <v/>
      </c>
      <c r="U34" s="60" t="str">
        <f>IFERROR(IF(VLOOKUP(F34,Scores!$A$1:$I$99,9,FALSE)="","",VLOOKUP(F34,Scores!$A$1:$I$99,9,FALSE)),"")</f>
        <v/>
      </c>
      <c r="V34" s="54" t="str">
        <f t="shared" si="17"/>
        <v/>
      </c>
      <c r="W34" s="55" t="str">
        <f t="shared" si="18"/>
        <v/>
      </c>
      <c r="X34" s="55" t="str">
        <f t="shared" si="19"/>
        <v/>
      </c>
      <c r="Y34" s="55" t="str">
        <f t="shared" si="20"/>
        <v/>
      </c>
      <c r="Z34" s="55" t="str">
        <f t="shared" si="21"/>
        <v/>
      </c>
      <c r="AA34" s="55" t="str">
        <f t="shared" si="22"/>
        <v/>
      </c>
      <c r="AB34" s="55" t="str">
        <f t="shared" si="23"/>
        <v/>
      </c>
      <c r="AC34" s="56" t="str">
        <f t="shared" si="24"/>
        <v/>
      </c>
      <c r="AD34" s="79" t="str">
        <f t="shared" si="25"/>
        <v/>
      </c>
      <c r="AE34" s="59" t="str">
        <f t="shared" si="26"/>
        <v/>
      </c>
      <c r="AF34" s="55" t="str" cm="1">
        <f t="array" ref="AF34">IFERROR(IF(AD34&gt;Lookups!$I$5-1,AVERAGE(LARGE(V34:AC34,_xlfn.SEQUENCE(Lookups!$I$5))),AVERAGE(LARGE(V34:AC34,_xlfn.SEQUENCE(AD34)))),"")</f>
        <v/>
      </c>
      <c r="AG34" s="124" t="str">
        <f t="shared" si="27"/>
        <v/>
      </c>
      <c r="AH34" s="78" t="str">
        <f>IF(AD34=Lookups!$I$5+1,LARGE(V34:AC34,5),"")</f>
        <v/>
      </c>
      <c r="AI34" s="78" t="str">
        <f>IF(AD34=Lookups!$I$5+2,LARGE(V34:AC34,6),"")</f>
        <v/>
      </c>
      <c r="AJ34" s="78"/>
      <c r="AK34" s="78"/>
      <c r="AL34" s="140" t="str">
        <f t="shared" si="11"/>
        <v/>
      </c>
      <c r="AM34" s="134" t="str">
        <f>IF(OR(AD34=0,AD34=""),"",IF(COUNTIFS($AR$6:$AR$177,"&gt;"&amp;AR34)+COUNTIFS(AR$6:AR34,"="&amp;AR34)=0,"",COUNTIFS($AR$6:$AR$177,"&gt;"&amp;AR34)+COUNTIFS(AR$6:AR34,"="&amp;AR34)))</f>
        <v/>
      </c>
      <c r="AN34" s="134" t="str">
        <f>IFERROR(IF(OR(AD34=0,AD34=""),"",IF(COUNTIFS($AS$6:$AS$177,"&gt;"&amp;AS34)+COUNTIFS(AS$6:AS34,"="&amp;AS34)=0,"",COUNTIFS($AS$6:$AS$177,"&gt;"&amp;AS34)+COUNTIFS(AS$6:AS34,"="&amp;AS34)+$AM$5)),"")</f>
        <v/>
      </c>
      <c r="AO34" s="134" t="str">
        <f>IFERROR(IF(OR(AD34=0,AD34=""),"",IF(COUNTIFS($AT$6:$AT$177,"&gt;"&amp;AT34)+COUNTIFS(AT$6:AT34,"="&amp;AT34)=0,"",COUNTIFS($AT$6:$AT$177,"&gt;"&amp;AT34)+COUNTIFS(AT$6:AT34,"="&amp;AT34)+$AN$5)),"")</f>
        <v/>
      </c>
      <c r="AP34" s="134" t="str">
        <f>IFERROR(IF(OR(AD34=0,AD34=""),"",IF(COUNTIFS($AU$6:$AU$177,"&gt;"&amp;AU34)+COUNTIFS(AU$6:AU34,"="&amp;AU34)=0,"",COUNTIFS($AU$6:$AU$177,"&gt;"&amp;AU34)+COUNTIFS(AU$6:AU34,"="&amp;AU34)+$AO$5)),"")</f>
        <v/>
      </c>
      <c r="AQ34" s="134" t="str">
        <f>IFERROR(IF(OR(AD34=0,AD34=""),"",IF(COUNTIFS($AV$6:$AV$177,"&gt;"&amp;AV34)+COUNTIFS(AV$6:AV34,"="&amp;AV34)=0,"",COUNTIFS($AV$6:$AV$177,"&gt;"&amp;AV34)+COUNTIFS(AV$6:AV34,"="&amp;AV34)+$AP$5)),"")</f>
        <v/>
      </c>
      <c r="AR34" s="78" t="str">
        <f t="shared" si="12"/>
        <v/>
      </c>
      <c r="AS34" s="78" t="str">
        <f t="shared" si="13"/>
        <v/>
      </c>
      <c r="AT34" s="78" t="str">
        <f t="shared" si="14"/>
        <v/>
      </c>
      <c r="AU34" s="78" t="str">
        <f t="shared" si="15"/>
        <v/>
      </c>
      <c r="AV34" s="78" t="str">
        <f t="shared" si="16"/>
        <v/>
      </c>
    </row>
    <row r="35" spans="1:48" ht="16.5" customHeight="1" x14ac:dyDescent="0.3">
      <c r="A35" t="str">
        <f>IF(AD35="","",COUNTIFS($H$6:$H$120,H35,$AF$6:$AF$120,"&gt;"&amp;AF35)+COUNTIFS(H35:$H$120,H35,AF35:$AF$120,AF35))</f>
        <v/>
      </c>
      <c r="C35" t="str">
        <f t="shared" si="10"/>
        <v/>
      </c>
      <c r="D35" t="str">
        <f>IF(AG35=0,"",IF(COUNTIFS($AG$6:$AG$177,"&gt;"&amp;AG35)+COUNTIFS(AG$6:AG35,"="&amp;AG35)=0,"",COUNTIFS($AG$6:$AG$177,"&gt;"&amp;AG35)+COUNTIFS(AG$6:AG35,"="&amp;AG35)))</f>
        <v/>
      </c>
      <c r="F35" s="19"/>
      <c r="G35" s="105" t="str">
        <f>IFERROR(IF(VLOOKUP(F35,Lookups!$A$2:$F$111,2,FALSE)="","",VLOOKUP(F35,Lookups!$A$2:$F$111,2,FALSE)),"")</f>
        <v/>
      </c>
      <c r="H35" s="105" t="str">
        <f>IFERROR(IF(VLOOKUP(F35,Lookups!$A$2:$F$111,3,FALSE)="","",VLOOKUP(F35,Lookups!$A$2:$F$111,3,FALSE)),"")</f>
        <v/>
      </c>
      <c r="I35" s="105" t="str">
        <f>IFERROR(IF(AF35=0,"",VLOOKUP(AF35,Lookups!$K$2:$L$6,2,TRUE)),"")</f>
        <v/>
      </c>
      <c r="J35" s="105" t="str">
        <f>IF(AD35&lt;Lookups!$I$5,"Y","N")</f>
        <v>N</v>
      </c>
      <c r="K35" s="105" t="str">
        <f>IFERROR(IF(VLOOKUP(F35,Lookups!$A$2:$F$111,4,FALSE)="","",VLOOKUP(F35,Lookups!$A$2:$F$111,4,FALSE)),"")</f>
        <v/>
      </c>
      <c r="L35" s="105" t="str">
        <f>IFERROR(IF(VLOOKUP(F35,Lookups!$A$2:$F$111,5,FALSE)="","",VLOOKUP(F35,Lookups!$A$2:$F$111,5,FALSE)),"")</f>
        <v/>
      </c>
      <c r="M35" s="106" t="str">
        <f>IFERROR(IF(VLOOKUP(F35,Lookups!$A$2:$F$111,6,FALSE)="","",VLOOKUP(F35,Lookups!$A$2:$F$111,6,FALSE)),"")</f>
        <v/>
      </c>
      <c r="N35" s="57" t="str">
        <f>IFERROR(IF(VLOOKUP(F35,Scores!$A$1:$I$99,2,FALSE)="","",VLOOKUP(F35,Scores!$A$1:$I$99,2,FALSE)),"")</f>
        <v/>
      </c>
      <c r="O35" s="58" t="str">
        <f>IFERROR(IF(VLOOKUP(F35,Scores!$A$1:$I$99,3,FALSE)="","",VLOOKUP(F35,Scores!$A$1:$I$99,3,FALSE)),"")</f>
        <v/>
      </c>
      <c r="P35" s="58" t="str">
        <f>IFERROR(IF(VLOOKUP(F35,Scores!$A$1:$I$99,4,FALSE)="","",VLOOKUP(F35,Scores!$A$1:$I$99,4,FALSE)),"")</f>
        <v/>
      </c>
      <c r="Q35" s="58" t="str">
        <f>IFERROR(IF(VLOOKUP(F35,Scores!$A$1:$I$99,5,FALSE)="","",VLOOKUP(F35,Scores!$A$1:$I$99,5,FALSE)),"")</f>
        <v/>
      </c>
      <c r="R35" s="58" t="str">
        <f>IFERROR(IF(VLOOKUP(F35,Scores!$A$1:$I$99,6,FALSE)="","",VLOOKUP(F35,Scores!$A$1:$I$99,6,FALSE)),"")</f>
        <v/>
      </c>
      <c r="S35" s="58" t="str">
        <f>IFERROR(IF(VLOOKUP(F35,Scores!$A$1:$I$99,7,FALSE)="","",VLOOKUP(F35,Scores!$A$1:$I$99,7,FALSE)),"")</f>
        <v/>
      </c>
      <c r="T35" s="58" t="str">
        <f>IFERROR(IF(VLOOKUP(F35,Scores!$A$1:$I$99,8,FALSE)="","",VLOOKUP(F35,Scores!$A$1:$I$99,8,FALSE)),"")</f>
        <v/>
      </c>
      <c r="U35" s="60" t="str">
        <f>IFERROR(IF(VLOOKUP(F35,Scores!$A$1:$I$99,9,FALSE)="","",VLOOKUP(F35,Scores!$A$1:$I$99,9,FALSE)),"")</f>
        <v/>
      </c>
      <c r="V35" s="54" t="str">
        <f t="shared" si="17"/>
        <v/>
      </c>
      <c r="W35" s="55" t="str">
        <f t="shared" si="18"/>
        <v/>
      </c>
      <c r="X35" s="55" t="str">
        <f t="shared" si="19"/>
        <v/>
      </c>
      <c r="Y35" s="55" t="str">
        <f t="shared" si="20"/>
        <v/>
      </c>
      <c r="Z35" s="55" t="str">
        <f t="shared" si="21"/>
        <v/>
      </c>
      <c r="AA35" s="55" t="str">
        <f t="shared" si="22"/>
        <v/>
      </c>
      <c r="AB35" s="55" t="str">
        <f t="shared" si="23"/>
        <v/>
      </c>
      <c r="AC35" s="56" t="str">
        <f t="shared" si="24"/>
        <v/>
      </c>
      <c r="AD35" s="79" t="str">
        <f t="shared" si="25"/>
        <v/>
      </c>
      <c r="AE35" s="59" t="str">
        <f t="shared" si="26"/>
        <v/>
      </c>
      <c r="AF35" s="55" t="str" cm="1">
        <f t="array" ref="AF35">IFERROR(IF(AD35&gt;Lookups!$I$5-1,AVERAGE(LARGE(V35:AC35,_xlfn.SEQUENCE(Lookups!$I$5))),AVERAGE(LARGE(V35:AC35,_xlfn.SEQUENCE(AD35)))),"")</f>
        <v/>
      </c>
      <c r="AG35" s="124" t="str">
        <f t="shared" si="27"/>
        <v/>
      </c>
      <c r="AH35" s="78" t="str">
        <f>IF(AD35=Lookups!$I$5+1,LARGE(V35:AC35,5),"")</f>
        <v/>
      </c>
      <c r="AI35" s="78" t="str">
        <f>IF(AD35=Lookups!$I$5+2,LARGE(V35:AC35,6),"")</f>
        <v/>
      </c>
      <c r="AJ35" s="78"/>
      <c r="AK35" s="78"/>
      <c r="AL35" s="140" t="str">
        <f t="shared" si="11"/>
        <v/>
      </c>
      <c r="AM35" s="134" t="str">
        <f>IF(OR(AD35=0,AD35=""),"",IF(COUNTIFS($AR$6:$AR$177,"&gt;"&amp;AR35)+COUNTIFS(AR$6:AR35,"="&amp;AR35)=0,"",COUNTIFS($AR$6:$AR$177,"&gt;"&amp;AR35)+COUNTIFS(AR$6:AR35,"="&amp;AR35)))</f>
        <v/>
      </c>
      <c r="AN35" s="134" t="str">
        <f>IFERROR(IF(OR(AD35=0,AD35=""),"",IF(COUNTIFS($AS$6:$AS$177,"&gt;"&amp;AS35)+COUNTIFS(AS$6:AS35,"="&amp;AS35)=0,"",COUNTIFS($AS$6:$AS$177,"&gt;"&amp;AS35)+COUNTIFS(AS$6:AS35,"="&amp;AS35)+$AM$5)),"")</f>
        <v/>
      </c>
      <c r="AO35" s="134" t="str">
        <f>IFERROR(IF(OR(AD35=0,AD35=""),"",IF(COUNTIFS($AT$6:$AT$177,"&gt;"&amp;AT35)+COUNTIFS(AT$6:AT35,"="&amp;AT35)=0,"",COUNTIFS($AT$6:$AT$177,"&gt;"&amp;AT35)+COUNTIFS(AT$6:AT35,"="&amp;AT35)+$AN$5)),"")</f>
        <v/>
      </c>
      <c r="AP35" s="134" t="str">
        <f>IFERROR(IF(OR(AD35=0,AD35=""),"",IF(COUNTIFS($AU$6:$AU$177,"&gt;"&amp;AU35)+COUNTIFS(AU$6:AU35,"="&amp;AU35)=0,"",COUNTIFS($AU$6:$AU$177,"&gt;"&amp;AU35)+COUNTIFS(AU$6:AU35,"="&amp;AU35)+$AO$5)),"")</f>
        <v/>
      </c>
      <c r="AQ35" s="134" t="str">
        <f>IFERROR(IF(OR(AD35=0,AD35=""),"",IF(COUNTIFS($AV$6:$AV$177,"&gt;"&amp;AV35)+COUNTIFS(AV$6:AV35,"="&amp;AV35)=0,"",COUNTIFS($AV$6:$AV$177,"&gt;"&amp;AV35)+COUNTIFS(AV$6:AV35,"="&amp;AV35)+$AP$5)),"")</f>
        <v/>
      </c>
      <c r="AR35" s="78" t="str">
        <f t="shared" si="12"/>
        <v/>
      </c>
      <c r="AS35" s="78" t="str">
        <f t="shared" si="13"/>
        <v/>
      </c>
      <c r="AT35" s="78" t="str">
        <f t="shared" si="14"/>
        <v/>
      </c>
      <c r="AU35" s="78" t="str">
        <f t="shared" si="15"/>
        <v/>
      </c>
      <c r="AV35" s="78" t="str">
        <f t="shared" si="16"/>
        <v/>
      </c>
    </row>
    <row r="36" spans="1:48" ht="16.5" customHeight="1" x14ac:dyDescent="0.3">
      <c r="A36" t="str">
        <f>IF(AD36="","",COUNTIFS($H$6:$H$120,H36,$AF$6:$AF$120,"&gt;"&amp;AF36)+COUNTIFS(H36:$H$120,H36,AF36:$AF$120,AF36))</f>
        <v/>
      </c>
      <c r="C36" t="str">
        <f t="shared" si="10"/>
        <v/>
      </c>
      <c r="D36" t="str">
        <f>IF(AG36=0,"",IF(COUNTIFS($AG$6:$AG$177,"&gt;"&amp;AG36)+COUNTIFS(AG$6:AG36,"="&amp;AG36)=0,"",COUNTIFS($AG$6:$AG$177,"&gt;"&amp;AG36)+COUNTIFS(AG$6:AG36,"="&amp;AG36)))</f>
        <v/>
      </c>
      <c r="F36" s="19"/>
      <c r="G36" s="105" t="str">
        <f>IFERROR(IF(VLOOKUP(F36,Lookups!$A$2:$F$111,2,FALSE)="","",VLOOKUP(F36,Lookups!$A$2:$F$111,2,FALSE)),"")</f>
        <v/>
      </c>
      <c r="H36" s="105" t="str">
        <f>IFERROR(IF(VLOOKUP(F36,Lookups!$A$2:$F$111,3,FALSE)="","",VLOOKUP(F36,Lookups!$A$2:$F$111,3,FALSE)),"")</f>
        <v/>
      </c>
      <c r="I36" s="105" t="str">
        <f>IFERROR(IF(AF36=0,"",VLOOKUP(AF36,Lookups!$K$2:$L$6,2,TRUE)),"")</f>
        <v/>
      </c>
      <c r="J36" s="105" t="str">
        <f>IF(AD36&lt;Lookups!$I$5,"Y","N")</f>
        <v>N</v>
      </c>
      <c r="K36" s="105" t="str">
        <f>IFERROR(IF(VLOOKUP(F36,Lookups!$A$2:$F$111,4,FALSE)="","",VLOOKUP(F36,Lookups!$A$2:$F$111,4,FALSE)),"")</f>
        <v/>
      </c>
      <c r="L36" s="105" t="str">
        <f>IFERROR(IF(VLOOKUP(F36,Lookups!$A$2:$F$111,5,FALSE)="","",VLOOKUP(F36,Lookups!$A$2:$F$111,5,FALSE)),"")</f>
        <v/>
      </c>
      <c r="M36" s="106" t="str">
        <f>IFERROR(IF(VLOOKUP(F36,Lookups!$A$2:$F$111,6,FALSE)="","",VLOOKUP(F36,Lookups!$A$2:$F$111,6,FALSE)),"")</f>
        <v/>
      </c>
      <c r="N36" s="57" t="str">
        <f>IFERROR(IF(VLOOKUP(F36,Scores!$A$1:$I$99,2,FALSE)="","",VLOOKUP(F36,Scores!$A$1:$I$99,2,FALSE)),"")</f>
        <v/>
      </c>
      <c r="O36" s="58" t="str">
        <f>IFERROR(IF(VLOOKUP(F36,Scores!$A$1:$I$99,3,FALSE)="","",VLOOKUP(F36,Scores!$A$1:$I$99,3,FALSE)),"")</f>
        <v/>
      </c>
      <c r="P36" s="58" t="str">
        <f>IFERROR(IF(VLOOKUP(F36,Scores!$A$1:$I$99,4,FALSE)="","",VLOOKUP(F36,Scores!$A$1:$I$99,4,FALSE)),"")</f>
        <v/>
      </c>
      <c r="Q36" s="58" t="str">
        <f>IFERROR(IF(VLOOKUP(F36,Scores!$A$1:$I$99,5,FALSE)="","",VLOOKUP(F36,Scores!$A$1:$I$99,5,FALSE)),"")</f>
        <v/>
      </c>
      <c r="R36" s="58" t="str">
        <f>IFERROR(IF(VLOOKUP(F36,Scores!$A$1:$I$99,6,FALSE)="","",VLOOKUP(F36,Scores!$A$1:$I$99,6,FALSE)),"")</f>
        <v/>
      </c>
      <c r="S36" s="58" t="str">
        <f>IFERROR(IF(VLOOKUP(F36,Scores!$A$1:$I$99,7,FALSE)="","",VLOOKUP(F36,Scores!$A$1:$I$99,7,FALSE)),"")</f>
        <v/>
      </c>
      <c r="T36" s="58" t="str">
        <f>IFERROR(IF(VLOOKUP(F36,Scores!$A$1:$I$99,8,FALSE)="","",VLOOKUP(F36,Scores!$A$1:$I$99,8,FALSE)),"")</f>
        <v/>
      </c>
      <c r="U36" s="60" t="str">
        <f>IFERROR(IF(VLOOKUP(F36,Scores!$A$1:$I$99,9,FALSE)="","",VLOOKUP(F36,Scores!$A$1:$I$99,9,FALSE)),"")</f>
        <v/>
      </c>
      <c r="V36" s="54" t="str">
        <f t="shared" si="17"/>
        <v/>
      </c>
      <c r="W36" s="55" t="str">
        <f t="shared" si="18"/>
        <v/>
      </c>
      <c r="X36" s="55" t="str">
        <f t="shared" si="19"/>
        <v/>
      </c>
      <c r="Y36" s="55" t="str">
        <f t="shared" si="20"/>
        <v/>
      </c>
      <c r="Z36" s="55" t="str">
        <f t="shared" si="21"/>
        <v/>
      </c>
      <c r="AA36" s="55" t="str">
        <f t="shared" si="22"/>
        <v/>
      </c>
      <c r="AB36" s="55" t="str">
        <f t="shared" si="23"/>
        <v/>
      </c>
      <c r="AC36" s="56" t="str">
        <f t="shared" si="24"/>
        <v/>
      </c>
      <c r="AD36" s="79" t="str">
        <f t="shared" si="25"/>
        <v/>
      </c>
      <c r="AE36" s="59" t="str">
        <f t="shared" si="26"/>
        <v/>
      </c>
      <c r="AF36" s="55" t="str" cm="1">
        <f t="array" ref="AF36">IFERROR(IF(AD36&gt;Lookups!$I$5-1,AVERAGE(LARGE(V36:AC36,_xlfn.SEQUENCE(Lookups!$I$5))),AVERAGE(LARGE(V36:AC36,_xlfn.SEQUENCE(AD36)))),"")</f>
        <v/>
      </c>
      <c r="AG36" s="124" t="str">
        <f t="shared" si="27"/>
        <v/>
      </c>
      <c r="AH36" s="78" t="str">
        <f>IF(AD36=Lookups!$I$5+1,LARGE(V36:AC36,5),"")</f>
        <v/>
      </c>
      <c r="AI36" s="78" t="str">
        <f>IF(AD36=Lookups!$I$5+2,LARGE(V36:AC36,6),"")</f>
        <v/>
      </c>
      <c r="AJ36" s="78"/>
      <c r="AK36" s="78"/>
      <c r="AL36" s="140" t="str">
        <f t="shared" si="11"/>
        <v/>
      </c>
      <c r="AM36" s="134" t="str">
        <f>IF(OR(AD36=0,AD36=""),"",IF(COUNTIFS($AR$6:$AR$177,"&gt;"&amp;AR36)+COUNTIFS(AR$6:AR36,"="&amp;AR36)=0,"",COUNTIFS($AR$6:$AR$177,"&gt;"&amp;AR36)+COUNTIFS(AR$6:AR36,"="&amp;AR36)))</f>
        <v/>
      </c>
      <c r="AN36" s="134" t="str">
        <f>IFERROR(IF(OR(AD36=0,AD36=""),"",IF(COUNTIFS($AS$6:$AS$177,"&gt;"&amp;AS36)+COUNTIFS(AS$6:AS36,"="&amp;AS36)=0,"",COUNTIFS($AS$6:$AS$177,"&gt;"&amp;AS36)+COUNTIFS(AS$6:AS36,"="&amp;AS36)+$AM$5)),"")</f>
        <v/>
      </c>
      <c r="AO36" s="134" t="str">
        <f>IFERROR(IF(OR(AD36=0,AD36=""),"",IF(COUNTIFS($AT$6:$AT$177,"&gt;"&amp;AT36)+COUNTIFS(AT$6:AT36,"="&amp;AT36)=0,"",COUNTIFS($AT$6:$AT$177,"&gt;"&amp;AT36)+COUNTIFS(AT$6:AT36,"="&amp;AT36)+$AN$5)),"")</f>
        <v/>
      </c>
      <c r="AP36" s="134" t="str">
        <f>IFERROR(IF(OR(AD36=0,AD36=""),"",IF(COUNTIFS($AU$6:$AU$177,"&gt;"&amp;AU36)+COUNTIFS(AU$6:AU36,"="&amp;AU36)=0,"",COUNTIFS($AU$6:$AU$177,"&gt;"&amp;AU36)+COUNTIFS(AU$6:AU36,"="&amp;AU36)+$AO$5)),"")</f>
        <v/>
      </c>
      <c r="AQ36" s="134" t="str">
        <f>IFERROR(IF(OR(AD36=0,AD36=""),"",IF(COUNTIFS($AV$6:$AV$177,"&gt;"&amp;AV36)+COUNTIFS(AV$6:AV36,"="&amp;AV36)=0,"",COUNTIFS($AV$6:$AV$177,"&gt;"&amp;AV36)+COUNTIFS(AV$6:AV36,"="&amp;AV36)+$AP$5)),"")</f>
        <v/>
      </c>
      <c r="AR36" s="78" t="str">
        <f t="shared" si="12"/>
        <v/>
      </c>
      <c r="AS36" s="78" t="str">
        <f t="shared" si="13"/>
        <v/>
      </c>
      <c r="AT36" s="78" t="str">
        <f t="shared" si="14"/>
        <v/>
      </c>
      <c r="AU36" s="78" t="str">
        <f t="shared" si="15"/>
        <v/>
      </c>
      <c r="AV36" s="78" t="str">
        <f t="shared" si="16"/>
        <v/>
      </c>
    </row>
    <row r="37" spans="1:48" ht="16.5" customHeight="1" x14ac:dyDescent="0.3">
      <c r="A37" t="str">
        <f>IF(AD37="","",COUNTIFS($H$6:$H$120,H37,$AF$6:$AF$120,"&gt;"&amp;AF37)+COUNTIFS(H37:$H$120,H37,AF37:$AF$120,AF37))</f>
        <v/>
      </c>
      <c r="C37" t="str">
        <f t="shared" si="10"/>
        <v/>
      </c>
      <c r="D37" t="str">
        <f>IF(AG37=0,"",IF(COUNTIFS($AG$6:$AG$177,"&gt;"&amp;AG37)+COUNTIFS(AG$6:AG37,"="&amp;AG37)=0,"",COUNTIFS($AG$6:$AG$177,"&gt;"&amp;AG37)+COUNTIFS(AG$6:AG37,"="&amp;AG37)))</f>
        <v/>
      </c>
      <c r="F37" s="22" t="s">
        <v>43</v>
      </c>
      <c r="G37" s="107">
        <f>IFERROR(IF(VLOOKUP(F37,Lookups!$A$2:$F$111,2,FALSE)="","",VLOOKUP(F37,Lookups!$A$2:$F$111,2,FALSE)),"")</f>
        <v>1905</v>
      </c>
      <c r="H37" s="107" t="str">
        <f>IFERROR(IF(VLOOKUP(F37,Lookups!$A$2:$F$111,3,FALSE)="","",VLOOKUP(F37,Lookups!$A$2:$F$111,3,FALSE)),"")</f>
        <v>B</v>
      </c>
      <c r="I37" s="107" t="str">
        <f>IFERROR(IF(AF37=0,"",VLOOKUP(AF37,Lookups!$K$2:$L$6,2,TRUE)),"")</f>
        <v/>
      </c>
      <c r="J37" s="107" t="str">
        <f>IF(AD37&lt;Lookups!$I$5,"Y","N")</f>
        <v>N</v>
      </c>
      <c r="K37" s="107" t="str">
        <f>IFERROR(IF(VLOOKUP(F37,Lookups!$A$2:$F$111,4,FALSE)="","",VLOOKUP(F37,Lookups!$A$2:$F$111,4,FALSE)),"")</f>
        <v>PCP</v>
      </c>
      <c r="L37" s="107" t="str">
        <f>IFERROR(IF(VLOOKUP(F37,Lookups!$A$2:$F$111,5,FALSE)="","",VLOOKUP(F37,Lookups!$A$2:$F$111,5,FALSE)),"")</f>
        <v>Meon</v>
      </c>
      <c r="M37" s="108" t="str">
        <f>IFERROR(IF(VLOOKUP(F37,Lookups!$A$2:$F$111,6,FALSE)="","",VLOOKUP(F37,Lookups!$A$2:$F$111,6,FALSE)),"")</f>
        <v>Meon</v>
      </c>
      <c r="N37" s="57" t="str">
        <f>IFERROR(IF(VLOOKUP(F37,Scores!$A$1:$I$99,2,FALSE)="","",VLOOKUP(F37,Scores!$A$1:$I$99,2,FALSE)),"")</f>
        <v/>
      </c>
      <c r="O37" s="58" t="str">
        <f>IFERROR(IF(VLOOKUP(F37,Scores!$A$1:$I$99,3,FALSE)="","",VLOOKUP(F37,Scores!$A$1:$I$99,3,FALSE)),"")</f>
        <v/>
      </c>
      <c r="P37" s="58" t="str">
        <f>IFERROR(IF(VLOOKUP(F37,Scores!$A$1:$I$99,4,FALSE)="","",VLOOKUP(F37,Scores!$A$1:$I$99,4,FALSE)),"")</f>
        <v/>
      </c>
      <c r="Q37" s="58" t="str">
        <f>IFERROR(IF(VLOOKUP(F37,Scores!$A$1:$I$99,5,FALSE)="","",VLOOKUP(F37,Scores!$A$1:$I$99,5,FALSE)),"")</f>
        <v/>
      </c>
      <c r="R37" s="58" t="str">
        <f>IFERROR(IF(VLOOKUP(F37,Scores!$A$1:$I$99,6,FALSE)="","",VLOOKUP(F37,Scores!$A$1:$I$99,6,FALSE)),"")</f>
        <v/>
      </c>
      <c r="S37" s="58" t="str">
        <f>IFERROR(IF(VLOOKUP(F37,Scores!$A$1:$I$99,7,FALSE)="","",VLOOKUP(F37,Scores!$A$1:$I$99,7,FALSE)),"")</f>
        <v/>
      </c>
      <c r="T37" s="58" t="str">
        <f>IFERROR(IF(VLOOKUP(F37,Scores!$A$1:$I$99,8,FALSE)="","",VLOOKUP(F37,Scores!$A$1:$I$99,8,FALSE)),"")</f>
        <v/>
      </c>
      <c r="U37" s="60" t="str">
        <f>IFERROR(IF(VLOOKUP(F37,Scores!$A$1:$I$99,9,FALSE)="","",VLOOKUP(F37,Scores!$A$1:$I$99,9,FALSE)),"")</f>
        <v/>
      </c>
      <c r="V37" s="54" t="str">
        <f t="shared" si="17"/>
        <v/>
      </c>
      <c r="W37" s="55" t="str">
        <f t="shared" si="18"/>
        <v/>
      </c>
      <c r="X37" s="55" t="str">
        <f t="shared" si="19"/>
        <v/>
      </c>
      <c r="Y37" s="55" t="str">
        <f t="shared" si="20"/>
        <v/>
      </c>
      <c r="Z37" s="55" t="str">
        <f t="shared" si="21"/>
        <v/>
      </c>
      <c r="AA37" s="55" t="str">
        <f t="shared" si="22"/>
        <v/>
      </c>
      <c r="AB37" s="55" t="str">
        <f t="shared" si="23"/>
        <v/>
      </c>
      <c r="AC37" s="56" t="str">
        <f t="shared" si="24"/>
        <v/>
      </c>
      <c r="AD37" s="79" t="str">
        <f t="shared" si="25"/>
        <v/>
      </c>
      <c r="AE37" s="59" t="str">
        <f t="shared" si="26"/>
        <v/>
      </c>
      <c r="AF37" s="55" t="str" cm="1">
        <f t="array" ref="AF37">IFERROR(IF(AD37&gt;Lookups!$I$5-1,AVERAGE(LARGE(V37:AC37,_xlfn.SEQUENCE(Lookups!$I$5))),AVERAGE(LARGE(V37:AC37,_xlfn.SEQUENCE(AD37)))),"")</f>
        <v/>
      </c>
      <c r="AG37" s="124" t="str">
        <f t="shared" si="27"/>
        <v/>
      </c>
      <c r="AH37" s="78" t="str">
        <f>IF(AD37=Lookups!$I$5+1,LARGE(V37:AC37,5),"")</f>
        <v/>
      </c>
      <c r="AI37" s="78" t="str">
        <f>IF(AD37=Lookups!$I$5+2,LARGE(V37:AC37,6),"")</f>
        <v/>
      </c>
      <c r="AJ37" s="78"/>
      <c r="AK37" s="78"/>
      <c r="AL37" s="140" t="str">
        <f t="shared" si="11"/>
        <v/>
      </c>
      <c r="AM37" s="134" t="str">
        <f>IF(OR(AD37=0,AD37=""),"",IF(COUNTIFS($AR$6:$AR$177,"&gt;"&amp;AR37)+COUNTIFS(AR$6:AR37,"="&amp;AR37)=0,"",COUNTIFS($AR$6:$AR$177,"&gt;"&amp;AR37)+COUNTIFS(AR$6:AR37,"="&amp;AR37)))</f>
        <v/>
      </c>
      <c r="AN37" s="134" t="str">
        <f>IFERROR(IF(OR(AD37=0,AD37=""),"",IF(COUNTIFS($AS$6:$AS$177,"&gt;"&amp;AS37)+COUNTIFS(AS$6:AS37,"="&amp;AS37)=0,"",COUNTIFS($AS$6:$AS$177,"&gt;"&amp;AS37)+COUNTIFS(AS$6:AS37,"="&amp;AS37)+$AM$5)),"")</f>
        <v/>
      </c>
      <c r="AO37" s="134" t="str">
        <f>IFERROR(IF(OR(AD37=0,AD37=""),"",IF(COUNTIFS($AT$6:$AT$177,"&gt;"&amp;AT37)+COUNTIFS(AT$6:AT37,"="&amp;AT37)=0,"",COUNTIFS($AT$6:$AT$177,"&gt;"&amp;AT37)+COUNTIFS(AT$6:AT37,"="&amp;AT37)+$AN$5)),"")</f>
        <v/>
      </c>
      <c r="AP37" s="134" t="str">
        <f>IFERROR(IF(OR(AD37=0,AD37=""),"",IF(COUNTIFS($AU$6:$AU$177,"&gt;"&amp;AU37)+COUNTIFS(AU$6:AU37,"="&amp;AU37)=0,"",COUNTIFS($AU$6:$AU$177,"&gt;"&amp;AU37)+COUNTIFS(AU$6:AU37,"="&amp;AU37)+$AO$5)),"")</f>
        <v/>
      </c>
      <c r="AQ37" s="134" t="str">
        <f>IFERROR(IF(OR(AD37=0,AD37=""),"",IF(COUNTIFS($AV$6:$AV$177,"&gt;"&amp;AV37)+COUNTIFS(AV$6:AV37,"="&amp;AV37)=0,"",COUNTIFS($AV$6:$AV$177,"&gt;"&amp;AV37)+COUNTIFS(AV$6:AV37,"="&amp;AV37)+$AP$5)),"")</f>
        <v/>
      </c>
      <c r="AR37" s="78" t="str">
        <f t="shared" si="12"/>
        <v/>
      </c>
      <c r="AS37" s="78" t="str">
        <f t="shared" si="13"/>
        <v/>
      </c>
      <c r="AT37" s="78" t="str">
        <f t="shared" si="14"/>
        <v/>
      </c>
      <c r="AU37" s="78" t="str">
        <f t="shared" si="15"/>
        <v/>
      </c>
      <c r="AV37" s="78" t="str">
        <f t="shared" si="16"/>
        <v/>
      </c>
    </row>
    <row r="38" spans="1:48" ht="16.5" customHeight="1" x14ac:dyDescent="0.3">
      <c r="A38">
        <f>IF(AD38="","",COUNTIFS($H$6:$H$120,H38,$AF$6:$AF$120,"&gt;"&amp;AF38)+COUNTIFS(H38:$H$120,H38,AF38:$AF$120,AF38))</f>
        <v>5</v>
      </c>
      <c r="C38">
        <f t="shared" si="10"/>
        <v>15</v>
      </c>
      <c r="D38">
        <f>IF(AG38=0,"",IF(COUNTIFS($AG$6:$AG$177,"&gt;"&amp;AG38)+COUNTIFS(AG$6:AG38,"="&amp;AG38)=0,"",COUNTIFS($AG$6:$AG$177,"&gt;"&amp;AG38)+COUNTIFS(AG$6:AG38,"="&amp;AG38)))</f>
        <v>26</v>
      </c>
      <c r="F38" s="19" t="s">
        <v>47</v>
      </c>
      <c r="G38" s="107">
        <f>IFERROR(IF(VLOOKUP(F38,Lookups!$A$2:$F$111,2,FALSE)="","",VLOOKUP(F38,Lookups!$A$2:$F$111,2,FALSE)),"")</f>
        <v>93</v>
      </c>
      <c r="H38" s="107" t="str">
        <f>IFERROR(IF(VLOOKUP(F38,Lookups!$A$2:$F$111,3,FALSE)="","",VLOOKUP(F38,Lookups!$A$2:$F$111,3,FALSE)),"")</f>
        <v>B</v>
      </c>
      <c r="I38" s="107" t="str">
        <f>IFERROR(IF(AF38=0,"",VLOOKUP(AF38,Lookups!$K$2:$L$6,2,TRUE)),"")</f>
        <v>A</v>
      </c>
      <c r="J38" s="107" t="str">
        <f>IF(AD38&lt;Lookups!$I$5,"Y","N")</f>
        <v>N</v>
      </c>
      <c r="K38" s="107" t="str">
        <f>IFERROR(IF(VLOOKUP(F38,Lookups!$A$2:$F$111,4,FALSE)="","",VLOOKUP(F38,Lookups!$A$2:$F$111,4,FALSE)),"")</f>
        <v>PCP</v>
      </c>
      <c r="L38" s="107" t="str">
        <f>IFERROR(IF(VLOOKUP(F38,Lookups!$A$2:$F$111,5,FALSE)="","",VLOOKUP(F38,Lookups!$A$2:$F$111,5,FALSE)),"")</f>
        <v>Carisbrooke</v>
      </c>
      <c r="M38" s="108" t="str">
        <f>IFERROR(IF(VLOOKUP(F38,Lookups!$A$2:$F$111,6,FALSE)="","",VLOOKUP(F38,Lookups!$A$2:$F$111,6,FALSE)),"")</f>
        <v>Carisbrooke Raptors</v>
      </c>
      <c r="N38" s="57">
        <f>IFERROR(IF(VLOOKUP(F38,Scores!$A$1:$I$99,2,FALSE)="","",VLOOKUP(F38,Scores!$A$1:$I$99,2,FALSE)),"")</f>
        <v>28</v>
      </c>
      <c r="O38" s="58">
        <f>IFERROR(IF(VLOOKUP(F38,Scores!$A$1:$I$99,3,FALSE)="","",VLOOKUP(F38,Scores!$A$1:$I$99,3,FALSE)),"")</f>
        <v>26</v>
      </c>
      <c r="P38" s="58" t="str">
        <f>IFERROR(IF(VLOOKUP(F38,Scores!$A$1:$I$99,4,FALSE)="","",VLOOKUP(F38,Scores!$A$1:$I$99,4,FALSE)),"")</f>
        <v/>
      </c>
      <c r="Q38" s="58">
        <f>IFERROR(IF(VLOOKUP(F38,Scores!$A$1:$I$99,5,FALSE)="","",VLOOKUP(F38,Scores!$A$1:$I$99,5,FALSE)),"")</f>
        <v>23</v>
      </c>
      <c r="R38" s="58" t="str">
        <f>IFERROR(IF(VLOOKUP(F38,Scores!$A$1:$I$99,6,FALSE)="","",VLOOKUP(F38,Scores!$A$1:$I$99,6,FALSE)),"")</f>
        <v/>
      </c>
      <c r="S38" s="58">
        <f>IFERROR(IF(VLOOKUP(F38,Scores!$A$1:$I$99,7,FALSE)="","",VLOOKUP(F38,Scores!$A$1:$I$99,7,FALSE)),"")</f>
        <v>31</v>
      </c>
      <c r="T38" s="58" t="str">
        <f>IFERROR(IF(VLOOKUP(F38,Scores!$A$1:$I$99,8,FALSE)="","",VLOOKUP(F38,Scores!$A$1:$I$99,8,FALSE)),"")</f>
        <v/>
      </c>
      <c r="U38" s="60" t="str">
        <f>IFERROR(IF(VLOOKUP(F38,Scores!$A$1:$I$99,9,FALSE)="","",VLOOKUP(F38,Scores!$A$1:$I$99,9,FALSE)),"")</f>
        <v/>
      </c>
      <c r="V38" s="54">
        <f t="shared" ref="V38:V65" si="28">IFERROR(IF(F38="","",N38/$N$4),"")</f>
        <v>0.7567567567567568</v>
      </c>
      <c r="W38" s="55">
        <f t="shared" ref="W38:W65" si="29">IFERROR(IF(F38="","",O38/$O$4),"")</f>
        <v>0.83870967741935487</v>
      </c>
      <c r="X38" s="55" t="str">
        <f t="shared" ref="X38:X65" si="30">IFERROR(IF(F38="","",P38/$P$4),"")</f>
        <v/>
      </c>
      <c r="Y38" s="55">
        <f t="shared" ref="Y38:Y65" si="31">IFERROR(IF(F38="","",Q38/$Q$4),"")</f>
        <v>0.63888888888888884</v>
      </c>
      <c r="Z38" s="55" t="str">
        <f t="shared" ref="Z38:Z65" si="32">IFERROR(IF(F38="","",R38/$R$4),"")</f>
        <v/>
      </c>
      <c r="AA38" s="55">
        <f t="shared" ref="AA38:AA65" si="33">IFERROR(IF(F38="","",S38/$S$4),"")</f>
        <v>0.83783783783783783</v>
      </c>
      <c r="AB38" s="55" t="str">
        <f t="shared" ref="AB38:AB65" si="34">IFERROR(IF(F38="","",T38/$T$4),"")</f>
        <v/>
      </c>
      <c r="AC38" s="56" t="str">
        <f t="shared" ref="AC38:AC65" si="35">IFERROR(IF(F38="","",U38/$U$4),"")</f>
        <v/>
      </c>
      <c r="AD38" s="79">
        <f t="shared" si="25"/>
        <v>4</v>
      </c>
      <c r="AE38" s="59">
        <f t="shared" si="26"/>
        <v>0.76804829022570953</v>
      </c>
      <c r="AF38" s="55" cm="1">
        <f t="array" ref="AF38">IFERROR(IF(AD38&gt;Lookups!$I$5-1,AVERAGE(LARGE(V38:AC38,_xlfn.SEQUENCE(Lookups!$I$5))),AVERAGE(LARGE(V38:AC38,_xlfn.SEQUENCE(AD38)))),"")</f>
        <v>0.76804829022570964</v>
      </c>
      <c r="AG38" s="124">
        <f t="shared" si="27"/>
        <v>108</v>
      </c>
      <c r="AH38" s="78" t="str">
        <f>IF(AD38=Lookups!$I$5+1,LARGE(V38:AC38,5),"")</f>
        <v/>
      </c>
      <c r="AI38" s="78" t="str">
        <f>IF(AD38=Lookups!$I$5+2,LARGE(V38:AC38,6),"")</f>
        <v/>
      </c>
      <c r="AJ38" s="78"/>
      <c r="AK38" s="78"/>
      <c r="AL38" s="140">
        <f t="shared" si="11"/>
        <v>15</v>
      </c>
      <c r="AM38" s="134">
        <f>IF(OR(AD38=0,AD38=""),"",IF(COUNTIFS($AR$6:$AR$177,"&gt;"&amp;AR38)+COUNTIFS(AR$6:AR38,"="&amp;AR38)=0,"",COUNTIFS($AR$6:$AR$177,"&gt;"&amp;AR38)+COUNTIFS(AR$6:AR38,"="&amp;AR38)))</f>
        <v>15</v>
      </c>
      <c r="AN38" s="134" t="str">
        <f>IFERROR(IF(OR(AD38=0,AD38=""),"",IF(COUNTIFS($AS$6:$AS$177,"&gt;"&amp;AS38)+COUNTIFS(AS$6:AS38,"="&amp;AS38)=0,"",COUNTIFS($AS$6:$AS$177,"&gt;"&amp;AS38)+COUNTIFS(AS$6:AS38,"="&amp;AS38)+$AM$5)),"")</f>
        <v/>
      </c>
      <c r="AO38" s="134" t="str">
        <f>IFERROR(IF(OR(AD38=0,AD38=""),"",IF(COUNTIFS($AT$6:$AT$177,"&gt;"&amp;AT38)+COUNTIFS(AT$6:AT38,"="&amp;AT38)=0,"",COUNTIFS($AT$6:$AT$177,"&gt;"&amp;AT38)+COUNTIFS(AT$6:AT38,"="&amp;AT38)+$AN$5)),"")</f>
        <v/>
      </c>
      <c r="AP38" s="134" t="str">
        <f>IFERROR(IF(OR(AD38=0,AD38=""),"",IF(COUNTIFS($AU$6:$AU$177,"&gt;"&amp;AU38)+COUNTIFS(AU$6:AU38,"="&amp;AU38)=0,"",COUNTIFS($AU$6:$AU$177,"&gt;"&amp;AU38)+COUNTIFS(AU$6:AU38,"="&amp;AU38)+$AO$5)),"")</f>
        <v/>
      </c>
      <c r="AQ38" s="134" t="str">
        <f>IFERROR(IF(OR(AD38=0,AD38=""),"",IF(COUNTIFS($AV$6:$AV$177,"&gt;"&amp;AV38)+COUNTIFS(AV$6:AV38,"="&amp;AV38)=0,"",COUNTIFS($AV$6:$AV$177,"&gt;"&amp;AV38)+COUNTIFS(AV$6:AV38,"="&amp;AV38)+$AP$5)),"")</f>
        <v/>
      </c>
      <c r="AR38" s="78">
        <f t="shared" si="12"/>
        <v>0.76804829022570964</v>
      </c>
      <c r="AS38" s="78" t="str">
        <f t="shared" si="13"/>
        <v/>
      </c>
      <c r="AT38" s="78" t="str">
        <f t="shared" si="14"/>
        <v/>
      </c>
      <c r="AU38" s="78" t="str">
        <f t="shared" si="15"/>
        <v/>
      </c>
      <c r="AV38" s="78" t="str">
        <f t="shared" si="16"/>
        <v/>
      </c>
    </row>
    <row r="39" spans="1:48" ht="16.5" customHeight="1" x14ac:dyDescent="0.3">
      <c r="A39" t="str">
        <f>IF(AD39="","",COUNTIFS($H$6:$H$120,H39,$AF$6:$AF$120,"&gt;"&amp;AF39)+COUNTIFS(H39:$H$120,H39,AF39:$AF$120,AF39))</f>
        <v/>
      </c>
      <c r="C39" t="str">
        <f t="shared" si="10"/>
        <v/>
      </c>
      <c r="D39" t="str">
        <f>IF(AG39=0,"",IF(COUNTIFS($AG$6:$AG$177,"&gt;"&amp;AG39)+COUNTIFS(AG$6:AG39,"="&amp;AG39)=0,"",COUNTIFS($AG$6:$AG$177,"&gt;"&amp;AG39)+COUNTIFS(AG$6:AG39,"="&amp;AG39)))</f>
        <v/>
      </c>
      <c r="F39" s="22"/>
      <c r="G39" s="107" t="str">
        <f>IFERROR(IF(VLOOKUP(F39,Lookups!$A$2:$F$111,2,FALSE)="","",VLOOKUP(F39,Lookups!$A$2:$F$111,2,FALSE)),"")</f>
        <v/>
      </c>
      <c r="H39" s="107" t="str">
        <f>IFERROR(IF(VLOOKUP(F39,Lookups!$A$2:$F$111,3,FALSE)="","",VLOOKUP(F39,Lookups!$A$2:$F$111,3,FALSE)),"")</f>
        <v/>
      </c>
      <c r="I39" s="107" t="str">
        <f>IFERROR(IF(AF39=0,"",VLOOKUP(AF39,Lookups!$K$2:$L$6,2,TRUE)),"")</f>
        <v/>
      </c>
      <c r="J39" s="107" t="str">
        <f>IF(AD39&lt;Lookups!$I$5,"Y","N")</f>
        <v>N</v>
      </c>
      <c r="K39" s="107" t="str">
        <f>IFERROR(IF(VLOOKUP(F39,Lookups!$A$2:$F$111,4,FALSE)="","",VLOOKUP(F39,Lookups!$A$2:$F$111,4,FALSE)),"")</f>
        <v/>
      </c>
      <c r="L39" s="107" t="str">
        <f>IFERROR(IF(VLOOKUP(F39,Lookups!$A$2:$F$111,5,FALSE)="","",VLOOKUP(F39,Lookups!$A$2:$F$111,5,FALSE)),"")</f>
        <v/>
      </c>
      <c r="M39" s="108" t="str">
        <f>IFERROR(IF(VLOOKUP(F39,Lookups!$A$2:$F$111,6,FALSE)="","",VLOOKUP(F39,Lookups!$A$2:$F$111,6,FALSE)),"")</f>
        <v/>
      </c>
      <c r="N39" s="57" t="str">
        <f>IFERROR(IF(VLOOKUP(F39,Scores!$A$1:$I$99,2,FALSE)="","",VLOOKUP(F39,Scores!$A$1:$I$99,2,FALSE)),"")</f>
        <v/>
      </c>
      <c r="O39" s="58" t="str">
        <f>IFERROR(IF(VLOOKUP(F39,Scores!$A$1:$I$99,3,FALSE)="","",VLOOKUP(F39,Scores!$A$1:$I$99,3,FALSE)),"")</f>
        <v/>
      </c>
      <c r="P39" s="58" t="str">
        <f>IFERROR(IF(VLOOKUP(F39,Scores!$A$1:$I$99,4,FALSE)="","",VLOOKUP(F39,Scores!$A$1:$I$99,4,FALSE)),"")</f>
        <v/>
      </c>
      <c r="Q39" s="58" t="str">
        <f>IFERROR(IF(VLOOKUP(F39,Scores!$A$1:$I$99,5,FALSE)="","",VLOOKUP(F39,Scores!$A$1:$I$99,5,FALSE)),"")</f>
        <v/>
      </c>
      <c r="R39" s="58" t="str">
        <f>IFERROR(IF(VLOOKUP(F39,Scores!$A$1:$I$99,6,FALSE)="","",VLOOKUP(F39,Scores!$A$1:$I$99,6,FALSE)),"")</f>
        <v/>
      </c>
      <c r="S39" s="58" t="str">
        <f>IFERROR(IF(VLOOKUP(F39,Scores!$A$1:$I$99,7,FALSE)="","",VLOOKUP(F39,Scores!$A$1:$I$99,7,FALSE)),"")</f>
        <v/>
      </c>
      <c r="T39" s="58" t="str">
        <f>IFERROR(IF(VLOOKUP(F39,Scores!$A$1:$I$99,8,FALSE)="","",VLOOKUP(F39,Scores!$A$1:$I$99,8,FALSE)),"")</f>
        <v/>
      </c>
      <c r="U39" s="60" t="str">
        <f>IFERROR(IF(VLOOKUP(F39,Scores!$A$1:$I$99,9,FALSE)="","",VLOOKUP(F39,Scores!$A$1:$I$99,9,FALSE)),"")</f>
        <v/>
      </c>
      <c r="V39" s="54" t="str">
        <f t="shared" si="28"/>
        <v/>
      </c>
      <c r="W39" s="55" t="str">
        <f t="shared" si="29"/>
        <v/>
      </c>
      <c r="X39" s="55" t="str">
        <f t="shared" si="30"/>
        <v/>
      </c>
      <c r="Y39" s="55" t="str">
        <f t="shared" si="31"/>
        <v/>
      </c>
      <c r="Z39" s="55" t="str">
        <f t="shared" si="32"/>
        <v/>
      </c>
      <c r="AA39" s="55" t="str">
        <f t="shared" si="33"/>
        <v/>
      </c>
      <c r="AB39" s="55" t="str">
        <f t="shared" si="34"/>
        <v/>
      </c>
      <c r="AC39" s="56" t="str">
        <f t="shared" si="35"/>
        <v/>
      </c>
      <c r="AD39" s="79" t="str">
        <f t="shared" si="25"/>
        <v/>
      </c>
      <c r="AE39" s="59" t="str">
        <f t="shared" si="26"/>
        <v/>
      </c>
      <c r="AF39" s="55" t="str" cm="1">
        <f t="array" ref="AF39">IFERROR(IF(AD39&gt;Lookups!$I$5-1,AVERAGE(LARGE(V39:AC39,_xlfn.SEQUENCE(Lookups!$I$5))),AVERAGE(LARGE(V39:AC39,_xlfn.SEQUENCE(AD39)))),"")</f>
        <v/>
      </c>
      <c r="AG39" s="124" t="str">
        <f t="shared" si="27"/>
        <v/>
      </c>
      <c r="AH39" s="78" t="str">
        <f>IF(AD39=Lookups!$I$5+1,LARGE(V39:AC39,5),"")</f>
        <v/>
      </c>
      <c r="AI39" s="78" t="str">
        <f>IF(AD39=Lookups!$I$5+2,LARGE(V39:AC39,6),"")</f>
        <v/>
      </c>
      <c r="AJ39" s="78"/>
      <c r="AK39" s="78"/>
      <c r="AL39" s="140" t="str">
        <f t="shared" si="11"/>
        <v/>
      </c>
      <c r="AM39" s="134" t="str">
        <f>IF(OR(AD39=0,AD39=""),"",IF(COUNTIFS($AR$6:$AR$177,"&gt;"&amp;AR39)+COUNTIFS(AR$6:AR39,"="&amp;AR39)=0,"",COUNTIFS($AR$6:$AR$177,"&gt;"&amp;AR39)+COUNTIFS(AR$6:AR39,"="&amp;AR39)))</f>
        <v/>
      </c>
      <c r="AN39" s="134" t="str">
        <f>IFERROR(IF(OR(AD39=0,AD39=""),"",IF(COUNTIFS($AS$6:$AS$177,"&gt;"&amp;AS39)+COUNTIFS(AS$6:AS39,"="&amp;AS39)=0,"",COUNTIFS($AS$6:$AS$177,"&gt;"&amp;AS39)+COUNTIFS(AS$6:AS39,"="&amp;AS39)+$AM$5)),"")</f>
        <v/>
      </c>
      <c r="AO39" s="134" t="str">
        <f>IFERROR(IF(OR(AD39=0,AD39=""),"",IF(COUNTIFS($AT$6:$AT$177,"&gt;"&amp;AT39)+COUNTIFS(AT$6:AT39,"="&amp;AT39)=0,"",COUNTIFS($AT$6:$AT$177,"&gt;"&amp;AT39)+COUNTIFS(AT$6:AT39,"="&amp;AT39)+$AN$5)),"")</f>
        <v/>
      </c>
      <c r="AP39" s="134" t="str">
        <f>IFERROR(IF(OR(AD39=0,AD39=""),"",IF(COUNTIFS($AU$6:$AU$177,"&gt;"&amp;AU39)+COUNTIFS(AU$6:AU39,"="&amp;AU39)=0,"",COUNTIFS($AU$6:$AU$177,"&gt;"&amp;AU39)+COUNTIFS(AU$6:AU39,"="&amp;AU39)+$AO$5)),"")</f>
        <v/>
      </c>
      <c r="AQ39" s="134" t="str">
        <f>IFERROR(IF(OR(AD39=0,AD39=""),"",IF(COUNTIFS($AV$6:$AV$177,"&gt;"&amp;AV39)+COUNTIFS(AV$6:AV39,"="&amp;AV39)=0,"",COUNTIFS($AV$6:$AV$177,"&gt;"&amp;AV39)+COUNTIFS(AV$6:AV39,"="&amp;AV39)+$AP$5)),"")</f>
        <v/>
      </c>
      <c r="AR39" s="78" t="str">
        <f t="shared" si="12"/>
        <v/>
      </c>
      <c r="AS39" s="78" t="str">
        <f t="shared" si="13"/>
        <v/>
      </c>
      <c r="AT39" s="78" t="str">
        <f t="shared" si="14"/>
        <v/>
      </c>
      <c r="AU39" s="78" t="str">
        <f t="shared" si="15"/>
        <v/>
      </c>
      <c r="AV39" s="78" t="str">
        <f t="shared" si="16"/>
        <v/>
      </c>
    </row>
    <row r="40" spans="1:48" ht="16.5" customHeight="1" x14ac:dyDescent="0.3">
      <c r="A40">
        <f>IF(AD40="","",COUNTIFS($H$6:$H$120,H40,$AF$6:$AF$120,"&gt;"&amp;AF40)+COUNTIFS(H40:$H$120,H40,AF40:$AF$120,AF40))</f>
        <v>12</v>
      </c>
      <c r="C40">
        <f t="shared" si="10"/>
        <v>45</v>
      </c>
      <c r="D40">
        <f>IF(AG40=0,"",IF(COUNTIFS($AG$6:$AG$177,"&gt;"&amp;AG40)+COUNTIFS(AG$6:AG40,"="&amp;AG40)=0,"",COUNTIFS($AG$6:$AG$177,"&gt;"&amp;AG40)+COUNTIFS(AG$6:AG40,"="&amp;AG40)))</f>
        <v>47</v>
      </c>
      <c r="F40" s="19" t="s">
        <v>53</v>
      </c>
      <c r="G40" s="107">
        <f>IFERROR(IF(VLOOKUP(F40,Lookups!$A$2:$F$111,2,FALSE)="","",VLOOKUP(F40,Lookups!$A$2:$F$111,2,FALSE)),"")</f>
        <v>449</v>
      </c>
      <c r="H40" s="107" t="str">
        <f>IFERROR(IF(VLOOKUP(F40,Lookups!$A$2:$F$111,3,FALSE)="","",VLOOKUP(F40,Lookups!$A$2:$F$111,3,FALSE)),"")</f>
        <v>B</v>
      </c>
      <c r="I40" s="107" t="str">
        <f>IFERROR(IF(AF40=0,"",VLOOKUP(AF40,Lookups!$K$2:$L$6,2,TRUE)),"")</f>
        <v>C</v>
      </c>
      <c r="J40" s="107" t="str">
        <f>IF(AD40&lt;Lookups!$I$5,"Y","N")</f>
        <v>Y</v>
      </c>
      <c r="K40" s="107" t="str">
        <f>IFERROR(IF(VLOOKUP(F40,Lookups!$A$2:$F$111,4,FALSE)="","",VLOOKUP(F40,Lookups!$A$2:$F$111,4,FALSE)),"")</f>
        <v>PCP</v>
      </c>
      <c r="L40" s="107" t="str">
        <f>IFERROR(IF(VLOOKUP(F40,Lookups!$A$2:$F$111,5,FALSE)="","",VLOOKUP(F40,Lookups!$A$2:$F$111,5,FALSE)),"")</f>
        <v>Newbury</v>
      </c>
      <c r="M40" s="108" t="str">
        <f>IFERROR(IF(VLOOKUP(F40,Lookups!$A$2:$F$111,6,FALSE)="","",VLOOKUP(F40,Lookups!$A$2:$F$111,6,FALSE)),"")</f>
        <v>Newbury</v>
      </c>
      <c r="N40" s="57" t="str">
        <f>IFERROR(IF(VLOOKUP(F40,Scores!$A$1:$I$99,2,FALSE)="","",VLOOKUP(F40,Scores!$A$1:$I$99,2,FALSE)),"")</f>
        <v/>
      </c>
      <c r="O40" s="58" t="str">
        <f>IFERROR(IF(VLOOKUP(F40,Scores!$A$1:$I$99,3,FALSE)="","",VLOOKUP(F40,Scores!$A$1:$I$99,3,FALSE)),"")</f>
        <v/>
      </c>
      <c r="P40" s="58">
        <f>IFERROR(IF(VLOOKUP(F40,Scores!$A$1:$I$99,4,FALSE)="","",VLOOKUP(F40,Scores!$A$1:$I$99,4,FALSE)),"")</f>
        <v>21</v>
      </c>
      <c r="Q40" s="58" t="str">
        <f>IFERROR(IF(VLOOKUP(F40,Scores!$A$1:$I$99,5,FALSE)="","",VLOOKUP(F40,Scores!$A$1:$I$99,5,FALSE)),"")</f>
        <v/>
      </c>
      <c r="R40" s="58" t="str">
        <f>IFERROR(IF(VLOOKUP(F40,Scores!$A$1:$I$99,6,FALSE)="","",VLOOKUP(F40,Scores!$A$1:$I$99,6,FALSE)),"")</f>
        <v/>
      </c>
      <c r="S40" s="58" t="str">
        <f>IFERROR(IF(VLOOKUP(F40,Scores!$A$1:$I$99,7,FALSE)="","",VLOOKUP(F40,Scores!$A$1:$I$99,7,FALSE)),"")</f>
        <v/>
      </c>
      <c r="T40" s="58" t="str">
        <f>IFERROR(IF(VLOOKUP(F40,Scores!$A$1:$I$99,8,FALSE)="","",VLOOKUP(F40,Scores!$A$1:$I$99,8,FALSE)),"")</f>
        <v/>
      </c>
      <c r="U40" s="60" t="str">
        <f>IFERROR(IF(VLOOKUP(F40,Scores!$A$1:$I$99,9,FALSE)="","",VLOOKUP(F40,Scores!$A$1:$I$99,9,FALSE)),"")</f>
        <v/>
      </c>
      <c r="V40" s="54" t="str">
        <f t="shared" si="28"/>
        <v/>
      </c>
      <c r="W40" s="55" t="str">
        <f t="shared" si="29"/>
        <v/>
      </c>
      <c r="X40" s="55">
        <f t="shared" si="30"/>
        <v>0.56756756756756754</v>
      </c>
      <c r="Y40" s="55" t="str">
        <f t="shared" si="31"/>
        <v/>
      </c>
      <c r="Z40" s="55" t="str">
        <f t="shared" si="32"/>
        <v/>
      </c>
      <c r="AA40" s="55" t="str">
        <f t="shared" si="33"/>
        <v/>
      </c>
      <c r="AB40" s="55" t="str">
        <f t="shared" si="34"/>
        <v/>
      </c>
      <c r="AC40" s="56" t="str">
        <f t="shared" si="35"/>
        <v/>
      </c>
      <c r="AD40" s="79">
        <f t="shared" si="25"/>
        <v>1</v>
      </c>
      <c r="AE40" s="59">
        <f t="shared" si="26"/>
        <v>0.56756756756756754</v>
      </c>
      <c r="AF40" s="55" cm="1">
        <f t="array" ref="AF40">IFERROR(IF(AD40&gt;Lookups!$I$5-1,AVERAGE(LARGE(V40:AC40,_xlfn.SEQUENCE(Lookups!$I$5))),AVERAGE(LARGE(V40:AC40,_xlfn.SEQUENCE(AD40)))),"")</f>
        <v>0.56756756756756754</v>
      </c>
      <c r="AG40" s="124">
        <f t="shared" si="27"/>
        <v>21</v>
      </c>
      <c r="AH40" s="78" t="str">
        <f>IF(AD40=Lookups!$I$5+1,LARGE(V40:AC40,5),"")</f>
        <v/>
      </c>
      <c r="AI40" s="78" t="str">
        <f>IF(AD40=Lookups!$I$5+2,LARGE(V40:AC40,6),"")</f>
        <v/>
      </c>
      <c r="AJ40" s="78"/>
      <c r="AK40" s="78"/>
      <c r="AL40" s="140">
        <f t="shared" si="11"/>
        <v>45</v>
      </c>
      <c r="AM40" s="134" t="str">
        <f>IF(OR(AD40=0,AD40=""),"",IF(COUNTIFS($AR$6:$AR$177,"&gt;"&amp;AR40)+COUNTIFS(AR$6:AR40,"="&amp;AR40)=0,"",COUNTIFS($AR$6:$AR$177,"&gt;"&amp;AR40)+COUNTIFS(AR$6:AR40,"="&amp;AR40)))</f>
        <v/>
      </c>
      <c r="AN40" s="134" t="str">
        <f>IFERROR(IF(OR(AD40=0,AD40=""),"",IF(COUNTIFS($AS$6:$AS$177,"&gt;"&amp;AS40)+COUNTIFS(AS$6:AS40,"="&amp;AS40)=0,"",COUNTIFS($AS$6:$AS$177,"&gt;"&amp;AS40)+COUNTIFS(AS$6:AS40,"="&amp;AS40)+$AM$5)),"")</f>
        <v/>
      </c>
      <c r="AO40" s="134" t="str">
        <f>IFERROR(IF(OR(AD40=0,AD40=""),"",IF(COUNTIFS($AT$6:$AT$177,"&gt;"&amp;AT40)+COUNTIFS(AT$6:AT40,"="&amp;AT40)=0,"",COUNTIFS($AT$6:$AT$177,"&gt;"&amp;AT40)+COUNTIFS(AT$6:AT40,"="&amp;AT40)+$AN$5)),"")</f>
        <v/>
      </c>
      <c r="AP40" s="134">
        <f>IFERROR(IF(OR(AD40=0,AD40=""),"",IF(COUNTIFS($AU$6:$AU$177,"&gt;"&amp;AU40)+COUNTIFS(AU$6:AU40,"="&amp;AU40)=0,"",COUNTIFS($AU$6:$AU$177,"&gt;"&amp;AU40)+COUNTIFS(AU$6:AU40,"="&amp;AU40)+$AO$5)),"")</f>
        <v>45</v>
      </c>
      <c r="AQ40" s="134" t="str">
        <f>IFERROR(IF(OR(AD40=0,AD40=""),"",IF(COUNTIFS($AV$6:$AV$177,"&gt;"&amp;AV40)+COUNTIFS(AV$6:AV40,"="&amp;AV40)=0,"",COUNTIFS($AV$6:$AV$177,"&gt;"&amp;AV40)+COUNTIFS(AV$6:AV40,"="&amp;AV40)+$AP$5)),"")</f>
        <v/>
      </c>
      <c r="AR40" s="78" t="str">
        <f t="shared" si="12"/>
        <v/>
      </c>
      <c r="AS40" s="78" t="str">
        <f t="shared" si="13"/>
        <v/>
      </c>
      <c r="AT40" s="78" t="str">
        <f t="shared" si="14"/>
        <v/>
      </c>
      <c r="AU40" s="78">
        <f t="shared" si="15"/>
        <v>0.56756756756756754</v>
      </c>
      <c r="AV40" s="78" t="str">
        <f t="shared" si="16"/>
        <v/>
      </c>
    </row>
    <row r="41" spans="1:48" ht="16.5" customHeight="1" x14ac:dyDescent="0.3">
      <c r="A41" t="str">
        <f>IF(AD41="","",COUNTIFS($H$6:$H$120,H41,$AF$6:$AF$120,"&gt;"&amp;AF41)+COUNTIFS(H41:$H$120,H41,AF41:$AF$120,AF41))</f>
        <v/>
      </c>
      <c r="C41" t="str">
        <f t="shared" si="10"/>
        <v/>
      </c>
      <c r="D41" t="str">
        <f>IF(AG41=0,"",IF(COUNTIFS($AG$6:$AG$177,"&gt;"&amp;AG41)+COUNTIFS(AG$6:AG41,"="&amp;AG41)=0,"",COUNTIFS($AG$6:$AG$177,"&gt;"&amp;AG41)+COUNTIFS(AG$6:AG41,"="&amp;AG41)))</f>
        <v/>
      </c>
      <c r="F41" s="17" t="s">
        <v>94</v>
      </c>
      <c r="G41" s="107">
        <f>IFERROR(IF(VLOOKUP(F41,Lookups!$A$2:$F$111,2,FALSE)="","",VLOOKUP(F41,Lookups!$A$2:$F$111,2,FALSE)),"")</f>
        <v>784</v>
      </c>
      <c r="H41" s="107" t="str">
        <f>IFERROR(IF(VLOOKUP(F41,Lookups!$A$2:$F$111,3,FALSE)="","",VLOOKUP(F41,Lookups!$A$2:$F$111,3,FALSE)),"")</f>
        <v>B</v>
      </c>
      <c r="I41" s="107" t="str">
        <f>IFERROR(IF(AF41=0,"",VLOOKUP(AF41,Lookups!$K$2:$L$6,2,TRUE)),"")</f>
        <v/>
      </c>
      <c r="J41" s="107" t="str">
        <f>IF(AD41&lt;Lookups!$I$5,"Y","N")</f>
        <v>N</v>
      </c>
      <c r="K41" s="107" t="str">
        <f>IFERROR(IF(VLOOKUP(F41,Lookups!$A$2:$F$111,4,FALSE)="","",VLOOKUP(F41,Lookups!$A$2:$F$111,4,FALSE)),"")</f>
        <v>PCP</v>
      </c>
      <c r="L41" s="107" t="str">
        <f>IFERROR(IF(VLOOKUP(F41,Lookups!$A$2:$F$111,5,FALSE)="","",VLOOKUP(F41,Lookups!$A$2:$F$111,5,FALSE)),"")</f>
        <v>Buccaneers</v>
      </c>
      <c r="M41" s="108" t="str">
        <f>IFERROR(IF(VLOOKUP(F41,Lookups!$A$2:$F$111,6,FALSE)="","",VLOOKUP(F41,Lookups!$A$2:$F$111,6,FALSE)),"")</f>
        <v/>
      </c>
      <c r="N41" s="57" t="str">
        <f>IFERROR(IF(VLOOKUP(F41,Scores!$A$1:$I$99,2,FALSE)="","",VLOOKUP(F41,Scores!$A$1:$I$99,2,FALSE)),"")</f>
        <v/>
      </c>
      <c r="O41" s="58" t="str">
        <f>IFERROR(IF(VLOOKUP(F41,Scores!$A$1:$I$99,3,FALSE)="","",VLOOKUP(F41,Scores!$A$1:$I$99,3,FALSE)),"")</f>
        <v/>
      </c>
      <c r="P41" s="58" t="str">
        <f>IFERROR(IF(VLOOKUP(F41,Scores!$A$1:$I$99,4,FALSE)="","",VLOOKUP(F41,Scores!$A$1:$I$99,4,FALSE)),"")</f>
        <v/>
      </c>
      <c r="Q41" s="58" t="str">
        <f>IFERROR(IF(VLOOKUP(F41,Scores!$A$1:$I$99,5,FALSE)="","",VLOOKUP(F41,Scores!$A$1:$I$99,5,FALSE)),"")</f>
        <v/>
      </c>
      <c r="R41" s="58" t="str">
        <f>IFERROR(IF(VLOOKUP(F41,Scores!$A$1:$I$99,6,FALSE)="","",VLOOKUP(F41,Scores!$A$1:$I$99,6,FALSE)),"")</f>
        <v/>
      </c>
      <c r="S41" s="58" t="str">
        <f>IFERROR(IF(VLOOKUP(F41,Scores!$A$1:$I$99,7,FALSE)="","",VLOOKUP(F41,Scores!$A$1:$I$99,7,FALSE)),"")</f>
        <v/>
      </c>
      <c r="T41" s="58" t="str">
        <f>IFERROR(IF(VLOOKUP(F41,Scores!$A$1:$I$99,8,FALSE)="","",VLOOKUP(F41,Scores!$A$1:$I$99,8,FALSE)),"")</f>
        <v/>
      </c>
      <c r="U41" s="60" t="str">
        <f>IFERROR(IF(VLOOKUP(F41,Scores!$A$1:$I$99,9,FALSE)="","",VLOOKUP(F41,Scores!$A$1:$I$99,9,FALSE)),"")</f>
        <v/>
      </c>
      <c r="V41" s="54" t="str">
        <f t="shared" si="28"/>
        <v/>
      </c>
      <c r="W41" s="55" t="str">
        <f t="shared" si="29"/>
        <v/>
      </c>
      <c r="X41" s="55" t="str">
        <f t="shared" si="30"/>
        <v/>
      </c>
      <c r="Y41" s="55" t="str">
        <f t="shared" si="31"/>
        <v/>
      </c>
      <c r="Z41" s="55" t="str">
        <f t="shared" si="32"/>
        <v/>
      </c>
      <c r="AA41" s="55" t="str">
        <f t="shared" si="33"/>
        <v/>
      </c>
      <c r="AB41" s="55" t="str">
        <f t="shared" si="34"/>
        <v/>
      </c>
      <c r="AC41" s="56" t="str">
        <f t="shared" si="35"/>
        <v/>
      </c>
      <c r="AD41" s="79" t="str">
        <f t="shared" si="25"/>
        <v/>
      </c>
      <c r="AE41" s="59" t="str">
        <f t="shared" si="26"/>
        <v/>
      </c>
      <c r="AF41" s="55" t="str" cm="1">
        <f t="array" ref="AF41">IFERROR(IF(AD41&gt;Lookups!$I$5-1,AVERAGE(LARGE(V41:AC41,_xlfn.SEQUENCE(Lookups!$I$5))),AVERAGE(LARGE(V41:AC41,_xlfn.SEQUENCE(AD41)))),"")</f>
        <v/>
      </c>
      <c r="AG41" s="124" t="str">
        <f t="shared" si="27"/>
        <v/>
      </c>
      <c r="AH41" s="78" t="str">
        <f>IF(AD41=Lookups!$I$5+1,LARGE(V41:AC41,5),"")</f>
        <v/>
      </c>
      <c r="AI41" s="78" t="str">
        <f>IF(AD41=Lookups!$I$5+2,LARGE(V41:AC41,6),"")</f>
        <v/>
      </c>
      <c r="AJ41" s="78"/>
      <c r="AK41" s="78"/>
      <c r="AL41" s="140" t="str">
        <f t="shared" si="11"/>
        <v/>
      </c>
      <c r="AM41" s="134" t="str">
        <f>IF(OR(AD41=0,AD41=""),"",IF(COUNTIFS($AR$6:$AR$177,"&gt;"&amp;AR41)+COUNTIFS(AR$6:AR41,"="&amp;AR41)=0,"",COUNTIFS($AR$6:$AR$177,"&gt;"&amp;AR41)+COUNTIFS(AR$6:AR41,"="&amp;AR41)))</f>
        <v/>
      </c>
      <c r="AN41" s="134" t="str">
        <f>IFERROR(IF(OR(AD41=0,AD41=""),"",IF(COUNTIFS($AS$6:$AS$177,"&gt;"&amp;AS41)+COUNTIFS(AS$6:AS41,"="&amp;AS41)=0,"",COUNTIFS($AS$6:$AS$177,"&gt;"&amp;AS41)+COUNTIFS(AS$6:AS41,"="&amp;AS41)+$AM$5)),"")</f>
        <v/>
      </c>
      <c r="AO41" s="134" t="str">
        <f>IFERROR(IF(OR(AD41=0,AD41=""),"",IF(COUNTIFS($AT$6:$AT$177,"&gt;"&amp;AT41)+COUNTIFS(AT$6:AT41,"="&amp;AT41)=0,"",COUNTIFS($AT$6:$AT$177,"&gt;"&amp;AT41)+COUNTIFS(AT$6:AT41,"="&amp;AT41)+$AN$5)),"")</f>
        <v/>
      </c>
      <c r="AP41" s="134" t="str">
        <f>IFERROR(IF(OR(AD41=0,AD41=""),"",IF(COUNTIFS($AU$6:$AU$177,"&gt;"&amp;AU41)+COUNTIFS(AU$6:AU41,"="&amp;AU41)=0,"",COUNTIFS($AU$6:$AU$177,"&gt;"&amp;AU41)+COUNTIFS(AU$6:AU41,"="&amp;AU41)+$AO$5)),"")</f>
        <v/>
      </c>
      <c r="AQ41" s="134" t="str">
        <f>IFERROR(IF(OR(AD41=0,AD41=""),"",IF(COUNTIFS($AV$6:$AV$177,"&gt;"&amp;AV41)+COUNTIFS(AV$6:AV41,"="&amp;AV41)=0,"",COUNTIFS($AV$6:$AV$177,"&gt;"&amp;AV41)+COUNTIFS(AV$6:AV41,"="&amp;AV41)+$AP$5)),"")</f>
        <v/>
      </c>
      <c r="AR41" s="78" t="str">
        <f t="shared" si="12"/>
        <v/>
      </c>
      <c r="AS41" s="78" t="str">
        <f t="shared" si="13"/>
        <v/>
      </c>
      <c r="AT41" s="78" t="str">
        <f t="shared" si="14"/>
        <v/>
      </c>
      <c r="AU41" s="78" t="str">
        <f t="shared" si="15"/>
        <v/>
      </c>
      <c r="AV41" s="78" t="str">
        <f t="shared" si="16"/>
        <v/>
      </c>
    </row>
    <row r="42" spans="1:48" ht="16.5" customHeight="1" x14ac:dyDescent="0.3">
      <c r="A42" t="str">
        <f>IF(AD42="","",COUNTIFS($H$6:$H$120,H42,$AF$6:$AF$120,"&gt;"&amp;AF42)+COUNTIFS(H42:$H$120,H42,AF42:$AF$120,AF42))</f>
        <v/>
      </c>
      <c r="C42" t="str">
        <f t="shared" si="10"/>
        <v/>
      </c>
      <c r="D42" t="str">
        <f>IF(AG42=0,"",IF(COUNTIFS($AG$6:$AG$177,"&gt;"&amp;AG42)+COUNTIFS(AG$6:AG42,"="&amp;AG42)=0,"",COUNTIFS($AG$6:$AG$177,"&gt;"&amp;AG42)+COUNTIFS(AG$6:AG42,"="&amp;AG42)))</f>
        <v/>
      </c>
      <c r="F42" s="19" t="s">
        <v>96</v>
      </c>
      <c r="G42" s="107">
        <f>IFERROR(IF(VLOOKUP(F42,Lookups!$A$2:$F$111,2,FALSE)="","",VLOOKUP(F42,Lookups!$A$2:$F$111,2,FALSE)),"")</f>
        <v>791</v>
      </c>
      <c r="H42" s="107" t="str">
        <f>IFERROR(IF(VLOOKUP(F42,Lookups!$A$2:$F$111,3,FALSE)="","",VLOOKUP(F42,Lookups!$A$2:$F$111,3,FALSE)),"")</f>
        <v>B</v>
      </c>
      <c r="I42" s="107" t="str">
        <f>IFERROR(IF(AF42=0,"",VLOOKUP(AF42,Lookups!$K$2:$L$6,2,TRUE)),"")</f>
        <v/>
      </c>
      <c r="J42" s="107" t="str">
        <f>IF(AD42&lt;Lookups!$I$5,"Y","N")</f>
        <v>N</v>
      </c>
      <c r="K42" s="107" t="str">
        <f>IFERROR(IF(VLOOKUP(F42,Lookups!$A$2:$F$111,4,FALSE)="","",VLOOKUP(F42,Lookups!$A$2:$F$111,4,FALSE)),"")</f>
        <v>PCP</v>
      </c>
      <c r="L42" s="107" t="str">
        <f>IFERROR(IF(VLOOKUP(F42,Lookups!$A$2:$F$111,5,FALSE)="","",VLOOKUP(F42,Lookups!$A$2:$F$111,5,FALSE)),"")</f>
        <v>Bisley</v>
      </c>
      <c r="M42" s="108" t="str">
        <f>IFERROR(IF(VLOOKUP(F42,Lookups!$A$2:$F$111,6,FALSE)="","",VLOOKUP(F42,Lookups!$A$2:$F$111,6,FALSE)),"")</f>
        <v/>
      </c>
      <c r="N42" s="57" t="str">
        <f>IFERROR(IF(VLOOKUP(F42,Scores!$A$1:$I$99,2,FALSE)="","",VLOOKUP(F42,Scores!$A$1:$I$99,2,FALSE)),"")</f>
        <v/>
      </c>
      <c r="O42" s="58" t="str">
        <f>IFERROR(IF(VLOOKUP(F42,Scores!$A$1:$I$99,3,FALSE)="","",VLOOKUP(F42,Scores!$A$1:$I$99,3,FALSE)),"")</f>
        <v/>
      </c>
      <c r="P42" s="58" t="str">
        <f>IFERROR(IF(VLOOKUP(F42,Scores!$A$1:$I$99,4,FALSE)="","",VLOOKUP(F42,Scores!$A$1:$I$99,4,FALSE)),"")</f>
        <v/>
      </c>
      <c r="Q42" s="58" t="str">
        <f>IFERROR(IF(VLOOKUP(F42,Scores!$A$1:$I$99,5,FALSE)="","",VLOOKUP(F42,Scores!$A$1:$I$99,5,FALSE)),"")</f>
        <v/>
      </c>
      <c r="R42" s="58" t="str">
        <f>IFERROR(IF(VLOOKUP(F42,Scores!$A$1:$I$99,6,FALSE)="","",VLOOKUP(F42,Scores!$A$1:$I$99,6,FALSE)),"")</f>
        <v/>
      </c>
      <c r="S42" s="58" t="str">
        <f>IFERROR(IF(VLOOKUP(F42,Scores!$A$1:$I$99,7,FALSE)="","",VLOOKUP(F42,Scores!$A$1:$I$99,7,FALSE)),"")</f>
        <v/>
      </c>
      <c r="T42" s="58" t="str">
        <f>IFERROR(IF(VLOOKUP(F42,Scores!$A$1:$I$99,8,FALSE)="","",VLOOKUP(F42,Scores!$A$1:$I$99,8,FALSE)),"")</f>
        <v/>
      </c>
      <c r="U42" s="60" t="str">
        <f>IFERROR(IF(VLOOKUP(F42,Scores!$A$1:$I$99,9,FALSE)="","",VLOOKUP(F42,Scores!$A$1:$I$99,9,FALSE)),"")</f>
        <v/>
      </c>
      <c r="V42" s="54" t="str">
        <f t="shared" si="28"/>
        <v/>
      </c>
      <c r="W42" s="55" t="str">
        <f t="shared" si="29"/>
        <v/>
      </c>
      <c r="X42" s="55" t="str">
        <f t="shared" si="30"/>
        <v/>
      </c>
      <c r="Y42" s="55" t="str">
        <f t="shared" si="31"/>
        <v/>
      </c>
      <c r="Z42" s="55" t="str">
        <f t="shared" si="32"/>
        <v/>
      </c>
      <c r="AA42" s="55" t="str">
        <f t="shared" si="33"/>
        <v/>
      </c>
      <c r="AB42" s="55" t="str">
        <f t="shared" si="34"/>
        <v/>
      </c>
      <c r="AC42" s="56" t="str">
        <f t="shared" si="35"/>
        <v/>
      </c>
      <c r="AD42" s="79" t="str">
        <f t="shared" si="25"/>
        <v/>
      </c>
      <c r="AE42" s="59" t="str">
        <f t="shared" si="26"/>
        <v/>
      </c>
      <c r="AF42" s="55" t="str" cm="1">
        <f t="array" ref="AF42">IFERROR(IF(AD42&gt;Lookups!$I$5-1,AVERAGE(LARGE(V42:AC42,_xlfn.SEQUENCE(Lookups!$I$5))),AVERAGE(LARGE(V42:AC42,_xlfn.SEQUENCE(AD42)))),"")</f>
        <v/>
      </c>
      <c r="AG42" s="124" t="str">
        <f t="shared" si="27"/>
        <v/>
      </c>
      <c r="AH42" s="78" t="str">
        <f>IF(AD42=Lookups!$I$5+1,LARGE(V42:AC42,5),"")</f>
        <v/>
      </c>
      <c r="AI42" s="78" t="str">
        <f>IF(AD42=Lookups!$I$5+2,LARGE(V42:AC42,6),"")</f>
        <v/>
      </c>
      <c r="AJ42" s="78"/>
      <c r="AK42" s="78"/>
      <c r="AL42" s="140" t="str">
        <f t="shared" si="11"/>
        <v/>
      </c>
      <c r="AM42" s="134" t="str">
        <f>IF(OR(AD42=0,AD42=""),"",IF(COUNTIFS($AR$6:$AR$177,"&gt;"&amp;AR42)+COUNTIFS(AR$6:AR42,"="&amp;AR42)=0,"",COUNTIFS($AR$6:$AR$177,"&gt;"&amp;AR42)+COUNTIFS(AR$6:AR42,"="&amp;AR42)))</f>
        <v/>
      </c>
      <c r="AN42" s="134" t="str">
        <f>IFERROR(IF(OR(AD42=0,AD42=""),"",IF(COUNTIFS($AS$6:$AS$177,"&gt;"&amp;AS42)+COUNTIFS(AS$6:AS42,"="&amp;AS42)=0,"",COUNTIFS($AS$6:$AS$177,"&gt;"&amp;AS42)+COUNTIFS(AS$6:AS42,"="&amp;AS42)+$AM$5)),"")</f>
        <v/>
      </c>
      <c r="AO42" s="134" t="str">
        <f>IFERROR(IF(OR(AD42=0,AD42=""),"",IF(COUNTIFS($AT$6:$AT$177,"&gt;"&amp;AT42)+COUNTIFS(AT$6:AT42,"="&amp;AT42)=0,"",COUNTIFS($AT$6:$AT$177,"&gt;"&amp;AT42)+COUNTIFS(AT$6:AT42,"="&amp;AT42)+$AN$5)),"")</f>
        <v/>
      </c>
      <c r="AP42" s="134" t="str">
        <f>IFERROR(IF(OR(AD42=0,AD42=""),"",IF(COUNTIFS($AU$6:$AU$177,"&gt;"&amp;AU42)+COUNTIFS(AU$6:AU42,"="&amp;AU42)=0,"",COUNTIFS($AU$6:$AU$177,"&gt;"&amp;AU42)+COUNTIFS(AU$6:AU42,"="&amp;AU42)+$AO$5)),"")</f>
        <v/>
      </c>
      <c r="AQ42" s="134" t="str">
        <f>IFERROR(IF(OR(AD42=0,AD42=""),"",IF(COUNTIFS($AV$6:$AV$177,"&gt;"&amp;AV42)+COUNTIFS(AV$6:AV42,"="&amp;AV42)=0,"",COUNTIFS($AV$6:$AV$177,"&gt;"&amp;AV42)+COUNTIFS(AV$6:AV42,"="&amp;AV42)+$AP$5)),"")</f>
        <v/>
      </c>
      <c r="AR42" s="78" t="str">
        <f t="shared" si="12"/>
        <v/>
      </c>
      <c r="AS42" s="78" t="str">
        <f t="shared" si="13"/>
        <v/>
      </c>
      <c r="AT42" s="78" t="str">
        <f t="shared" si="14"/>
        <v/>
      </c>
      <c r="AU42" s="78" t="str">
        <f t="shared" si="15"/>
        <v/>
      </c>
      <c r="AV42" s="78" t="str">
        <f t="shared" si="16"/>
        <v/>
      </c>
    </row>
    <row r="43" spans="1:48" ht="16.5" customHeight="1" x14ac:dyDescent="0.3">
      <c r="A43">
        <f>IF(AD43="","",COUNTIFS($H$6:$H$120,H43,$AF$6:$AF$120,"&gt;"&amp;AF43)+COUNTIFS(H43:$H$120,H43,AF43:$AF$120,AF43))</f>
        <v>4</v>
      </c>
      <c r="C43">
        <f t="shared" si="10"/>
        <v>14</v>
      </c>
      <c r="D43">
        <f>IF(AG43=0,"",IF(COUNTIFS($AG$6:$AG$177,"&gt;"&amp;AG43)+COUNTIFS(AG$6:AG43,"="&amp;AG43)=0,"",COUNTIFS($AG$6:$AG$177,"&gt;"&amp;AG43)+COUNTIFS(AG$6:AG43,"="&amp;AG43)))</f>
        <v>19</v>
      </c>
      <c r="F43" s="19" t="s">
        <v>50</v>
      </c>
      <c r="G43" s="107">
        <f>IFERROR(IF(VLOOKUP(F43,Lookups!$A$2:$F$111,2,FALSE)="","",VLOOKUP(F43,Lookups!$A$2:$F$111,2,FALSE)),"")</f>
        <v>1301</v>
      </c>
      <c r="H43" s="107" t="str">
        <f>IFERROR(IF(VLOOKUP(F43,Lookups!$A$2:$F$111,3,FALSE)="","",VLOOKUP(F43,Lookups!$A$2:$F$111,3,FALSE)),"")</f>
        <v>B</v>
      </c>
      <c r="I43" s="107" t="str">
        <f>IFERROR(IF(AF43=0,"",VLOOKUP(AF43,Lookups!$K$2:$L$6,2,TRUE)),"")</f>
        <v>A</v>
      </c>
      <c r="J43" s="107" t="str">
        <f>IF(AD43&lt;Lookups!$I$5,"Y","N")</f>
        <v>N</v>
      </c>
      <c r="K43" s="107" t="str">
        <f>IFERROR(IF(VLOOKUP(F43,Lookups!$A$2:$F$111,4,FALSE)="","",VLOOKUP(F43,Lookups!$A$2:$F$111,4,FALSE)),"")</f>
        <v>PCP</v>
      </c>
      <c r="L43" s="107" t="str">
        <f>IFERROR(IF(VLOOKUP(F43,Lookups!$A$2:$F$111,5,FALSE)="","",VLOOKUP(F43,Lookups!$A$2:$F$111,5,FALSE)),"")</f>
        <v>Buccaneers</v>
      </c>
      <c r="M43" s="108" t="str">
        <f>IFERROR(IF(VLOOKUP(F43,Lookups!$A$2:$F$111,6,FALSE)="","",VLOOKUP(F43,Lookups!$A$2:$F$111,6,FALSE)),"")</f>
        <v>Buccaneers</v>
      </c>
      <c r="N43" s="57" t="str">
        <f>IFERROR(IF(VLOOKUP(F43,Scores!$A$1:$I$99,2,FALSE)="","",VLOOKUP(F43,Scores!$A$1:$I$99,2,FALSE)),"")</f>
        <v/>
      </c>
      <c r="O43" s="58">
        <f>IFERROR(IF(VLOOKUP(F43,Scores!$A$1:$I$99,3,FALSE)="","",VLOOKUP(F43,Scores!$A$1:$I$99,3,FALSE)),"")</f>
        <v>25</v>
      </c>
      <c r="P43" s="58">
        <f>IFERROR(IF(VLOOKUP(F43,Scores!$A$1:$I$99,4,FALSE)="","",VLOOKUP(F43,Scores!$A$1:$I$99,4,FALSE)),"")</f>
        <v>22</v>
      </c>
      <c r="Q43" s="58">
        <f>IFERROR(IF(VLOOKUP(F43,Scores!$A$1:$I$99,5,FALSE)="","",VLOOKUP(F43,Scores!$A$1:$I$99,5,FALSE)),"")</f>
        <v>28</v>
      </c>
      <c r="R43" s="58">
        <f>IFERROR(IF(VLOOKUP(F43,Scores!$A$1:$I$99,6,FALSE)="","",VLOOKUP(F43,Scores!$A$1:$I$99,6,FALSE)),"")</f>
        <v>27</v>
      </c>
      <c r="S43" s="58">
        <f>IFERROR(IF(VLOOKUP(F43,Scores!$A$1:$I$99,7,FALSE)="","",VLOOKUP(F43,Scores!$A$1:$I$99,7,FALSE)),"")</f>
        <v>29</v>
      </c>
      <c r="T43" s="58" t="str">
        <f>IFERROR(IF(VLOOKUP(F43,Scores!$A$1:$I$99,8,FALSE)="","",VLOOKUP(F43,Scores!$A$1:$I$99,8,FALSE)),"")</f>
        <v/>
      </c>
      <c r="U43" s="60" t="str">
        <f>IFERROR(IF(VLOOKUP(F43,Scores!$A$1:$I$99,9,FALSE)="","",VLOOKUP(F43,Scores!$A$1:$I$99,9,FALSE)),"")</f>
        <v/>
      </c>
      <c r="V43" s="54" t="str">
        <f t="shared" si="28"/>
        <v/>
      </c>
      <c r="W43" s="55">
        <f t="shared" si="29"/>
        <v>0.80645161290322576</v>
      </c>
      <c r="X43" s="55">
        <f t="shared" si="30"/>
        <v>0.59459459459459463</v>
      </c>
      <c r="Y43" s="55">
        <f t="shared" si="31"/>
        <v>0.77777777777777779</v>
      </c>
      <c r="Z43" s="55">
        <f t="shared" si="32"/>
        <v>0.71052631578947367</v>
      </c>
      <c r="AA43" s="55">
        <f t="shared" si="33"/>
        <v>0.78378378378378377</v>
      </c>
      <c r="AB43" s="55" t="str">
        <f t="shared" si="34"/>
        <v/>
      </c>
      <c r="AC43" s="56" t="str">
        <f t="shared" si="35"/>
        <v/>
      </c>
      <c r="AD43" s="79">
        <f t="shared" si="25"/>
        <v>5</v>
      </c>
      <c r="AE43" s="59">
        <f t="shared" si="26"/>
        <v>0.73462681696977117</v>
      </c>
      <c r="AF43" s="55" cm="1">
        <f t="array" ref="AF43">IFERROR(IF(AD43&gt;Lookups!$I$5-1,AVERAGE(LARGE(V43:AC43,_xlfn.SEQUENCE(Lookups!$I$5))),AVERAGE(LARGE(V43:AC43,_xlfn.SEQUENCE(AD43)))),"")</f>
        <v>0.76963487256356533</v>
      </c>
      <c r="AG43" s="124">
        <f t="shared" si="27"/>
        <v>131</v>
      </c>
      <c r="AH43" s="78">
        <f>IF(AD43=Lookups!$I$5+1,LARGE(V43:AC43,5),"")</f>
        <v>0.59459459459459463</v>
      </c>
      <c r="AI43" s="78" t="str">
        <f>IF(AD43=Lookups!$I$5+2,LARGE(V43:AC43,6),"")</f>
        <v/>
      </c>
      <c r="AJ43" s="78"/>
      <c r="AK43" s="78"/>
      <c r="AL43" s="140">
        <f t="shared" si="11"/>
        <v>14</v>
      </c>
      <c r="AM43" s="134">
        <f>IF(OR(AD43=0,AD43=""),"",IF(COUNTIFS($AR$6:$AR$177,"&gt;"&amp;AR43)+COUNTIFS(AR$6:AR43,"="&amp;AR43)=0,"",COUNTIFS($AR$6:$AR$177,"&gt;"&amp;AR43)+COUNTIFS(AR$6:AR43,"="&amp;AR43)))</f>
        <v>14</v>
      </c>
      <c r="AN43" s="134" t="str">
        <f>IFERROR(IF(OR(AD43=0,AD43=""),"",IF(COUNTIFS($AS$6:$AS$177,"&gt;"&amp;AS43)+COUNTIFS(AS$6:AS43,"="&amp;AS43)=0,"",COUNTIFS($AS$6:$AS$177,"&gt;"&amp;AS43)+COUNTIFS(AS$6:AS43,"="&amp;AS43)+$AM$5)),"")</f>
        <v/>
      </c>
      <c r="AO43" s="134" t="str">
        <f>IFERROR(IF(OR(AD43=0,AD43=""),"",IF(COUNTIFS($AT$6:$AT$177,"&gt;"&amp;AT43)+COUNTIFS(AT$6:AT43,"="&amp;AT43)=0,"",COUNTIFS($AT$6:$AT$177,"&gt;"&amp;AT43)+COUNTIFS(AT$6:AT43,"="&amp;AT43)+$AN$5)),"")</f>
        <v/>
      </c>
      <c r="AP43" s="134" t="str">
        <f>IFERROR(IF(OR(AD43=0,AD43=""),"",IF(COUNTIFS($AU$6:$AU$177,"&gt;"&amp;AU43)+COUNTIFS(AU$6:AU43,"="&amp;AU43)=0,"",COUNTIFS($AU$6:$AU$177,"&gt;"&amp;AU43)+COUNTIFS(AU$6:AU43,"="&amp;AU43)+$AO$5)),"")</f>
        <v/>
      </c>
      <c r="AQ43" s="134" t="str">
        <f>IFERROR(IF(OR(AD43=0,AD43=""),"",IF(COUNTIFS($AV$6:$AV$177,"&gt;"&amp;AV43)+COUNTIFS(AV$6:AV43,"="&amp;AV43)=0,"",COUNTIFS($AV$6:$AV$177,"&gt;"&amp;AV43)+COUNTIFS(AV$6:AV43,"="&amp;AV43)+$AP$5)),"")</f>
        <v/>
      </c>
      <c r="AR43" s="78">
        <f t="shared" si="12"/>
        <v>0.76963487256356533</v>
      </c>
      <c r="AS43" s="78" t="str">
        <f t="shared" si="13"/>
        <v/>
      </c>
      <c r="AT43" s="78" t="str">
        <f t="shared" si="14"/>
        <v/>
      </c>
      <c r="AU43" s="78" t="str">
        <f t="shared" si="15"/>
        <v/>
      </c>
      <c r="AV43" s="78" t="str">
        <f t="shared" si="16"/>
        <v/>
      </c>
    </row>
    <row r="44" spans="1:48" ht="16.5" customHeight="1" x14ac:dyDescent="0.3">
      <c r="A44">
        <f>IF(AD44="","",COUNTIFS($H$6:$H$120,H44,$AF$6:$AF$120,"&gt;"&amp;AF44)+COUNTIFS(H44:$H$120,H44,AF44:$AF$120,AF44))</f>
        <v>7</v>
      </c>
      <c r="C44">
        <f t="shared" si="10"/>
        <v>42</v>
      </c>
      <c r="D44">
        <f>IF(AG44=0,"",IF(COUNTIFS($AG$6:$AG$177,"&gt;"&amp;AG44)+COUNTIFS(AG$6:AG44,"="&amp;AG44)=0,"",COUNTIFS($AG$6:$AG$177,"&gt;"&amp;AG44)+COUNTIFS(AG$6:AG44,"="&amp;AG44)))</f>
        <v>44</v>
      </c>
      <c r="F44" s="19" t="s">
        <v>57</v>
      </c>
      <c r="G44" s="107">
        <f>IFERROR(IF(VLOOKUP(F44,Lookups!$A$2:$F$111,2,FALSE)="","",VLOOKUP(F44,Lookups!$A$2:$F$111,2,FALSE)),"")</f>
        <v>1346</v>
      </c>
      <c r="H44" s="107" t="str">
        <f>IFERROR(IF(VLOOKUP(F44,Lookups!$A$2:$F$111,3,FALSE)="","",VLOOKUP(F44,Lookups!$A$2:$F$111,3,FALSE)),"")</f>
        <v>B</v>
      </c>
      <c r="I44" s="107" t="str">
        <f>IFERROR(IF(AF44=0,"",VLOOKUP(AF44,Lookups!$K$2:$L$6,2,TRUE)),"")</f>
        <v>B</v>
      </c>
      <c r="J44" s="107" t="str">
        <f>IF(AD44&lt;Lookups!$I$5,"Y","N")</f>
        <v>Y</v>
      </c>
      <c r="K44" s="107" t="str">
        <f>IFERROR(IF(VLOOKUP(F44,Lookups!$A$2:$F$111,4,FALSE)="","",VLOOKUP(F44,Lookups!$A$2:$F$111,4,FALSE)),"")</f>
        <v>PCP</v>
      </c>
      <c r="L44" s="107" t="str">
        <f>IFERROR(IF(VLOOKUP(F44,Lookups!$A$2:$F$111,5,FALSE)="","",VLOOKUP(F44,Lookups!$A$2:$F$111,5,FALSE)),"")</f>
        <v>Newbury</v>
      </c>
      <c r="M44" s="108" t="str">
        <f>IFERROR(IF(VLOOKUP(F44,Lookups!$A$2:$F$111,6,FALSE)="","",VLOOKUP(F44,Lookups!$A$2:$F$111,6,FALSE)),"")</f>
        <v/>
      </c>
      <c r="N44" s="57" t="str">
        <f>IFERROR(IF(VLOOKUP(F44,Scores!$A$1:$I$99,2,FALSE)="","",VLOOKUP(F44,Scores!$A$1:$I$99,2,FALSE)),"")</f>
        <v/>
      </c>
      <c r="O44" s="58" t="str">
        <f>IFERROR(IF(VLOOKUP(F44,Scores!$A$1:$I$99,3,FALSE)="","",VLOOKUP(F44,Scores!$A$1:$I$99,3,FALSE)),"")</f>
        <v/>
      </c>
      <c r="P44" s="58">
        <f>IFERROR(IF(VLOOKUP(F44,Scores!$A$1:$I$99,4,FALSE)="","",VLOOKUP(F44,Scores!$A$1:$I$99,4,FALSE)),"")</f>
        <v>27</v>
      </c>
      <c r="Q44" s="58" t="str">
        <f>IFERROR(IF(VLOOKUP(F44,Scores!$A$1:$I$99,5,FALSE)="","",VLOOKUP(F44,Scores!$A$1:$I$99,5,FALSE)),"")</f>
        <v/>
      </c>
      <c r="R44" s="58" t="str">
        <f>IFERROR(IF(VLOOKUP(F44,Scores!$A$1:$I$99,6,FALSE)="","",VLOOKUP(F44,Scores!$A$1:$I$99,6,FALSE)),"")</f>
        <v/>
      </c>
      <c r="S44" s="58" t="str">
        <f>IFERROR(IF(VLOOKUP(F44,Scores!$A$1:$I$99,7,FALSE)="","",VLOOKUP(F44,Scores!$A$1:$I$99,7,FALSE)),"")</f>
        <v/>
      </c>
      <c r="T44" s="58" t="str">
        <f>IFERROR(IF(VLOOKUP(F44,Scores!$A$1:$I$99,8,FALSE)="","",VLOOKUP(F44,Scores!$A$1:$I$99,8,FALSE)),"")</f>
        <v/>
      </c>
      <c r="U44" s="60" t="str">
        <f>IFERROR(IF(VLOOKUP(F44,Scores!$A$1:$I$99,9,FALSE)="","",VLOOKUP(F44,Scores!$A$1:$I$99,9,FALSE)),"")</f>
        <v/>
      </c>
      <c r="V44" s="54" t="str">
        <f t="shared" si="28"/>
        <v/>
      </c>
      <c r="W44" s="55" t="str">
        <f t="shared" si="29"/>
        <v/>
      </c>
      <c r="X44" s="55">
        <f t="shared" si="30"/>
        <v>0.72972972972972971</v>
      </c>
      <c r="Y44" s="55" t="str">
        <f t="shared" si="31"/>
        <v/>
      </c>
      <c r="Z44" s="55" t="str">
        <f t="shared" si="32"/>
        <v/>
      </c>
      <c r="AA44" s="55" t="str">
        <f t="shared" si="33"/>
        <v/>
      </c>
      <c r="AB44" s="55" t="str">
        <f t="shared" si="34"/>
        <v/>
      </c>
      <c r="AC44" s="56" t="str">
        <f t="shared" si="35"/>
        <v/>
      </c>
      <c r="AD44" s="79">
        <f t="shared" si="25"/>
        <v>1</v>
      </c>
      <c r="AE44" s="59">
        <f t="shared" si="26"/>
        <v>0.72972972972972971</v>
      </c>
      <c r="AF44" s="55" cm="1">
        <f t="array" ref="AF44">IFERROR(IF(AD44&gt;Lookups!$I$5-1,AVERAGE(LARGE(V44:AC44,_xlfn.SEQUENCE(Lookups!$I$5))),AVERAGE(LARGE(V44:AC44,_xlfn.SEQUENCE(AD44)))),"")</f>
        <v>0.72972972972972971</v>
      </c>
      <c r="AG44" s="124">
        <f t="shared" si="27"/>
        <v>27</v>
      </c>
      <c r="AH44" s="78" t="str">
        <f>IF(AD44=Lookups!$I$5+1,LARGE(V44:AC44,5),"")</f>
        <v/>
      </c>
      <c r="AI44" s="78" t="str">
        <f>IF(AD44=Lookups!$I$5+2,LARGE(V44:AC44,6),"")</f>
        <v/>
      </c>
      <c r="AJ44" s="78"/>
      <c r="AK44" s="78"/>
      <c r="AL44" s="140">
        <f t="shared" si="11"/>
        <v>42</v>
      </c>
      <c r="AM44" s="134" t="str">
        <f>IF(OR(AD44=0,AD44=""),"",IF(COUNTIFS($AR$6:$AR$177,"&gt;"&amp;AR44)+COUNTIFS(AR$6:AR44,"="&amp;AR44)=0,"",COUNTIFS($AR$6:$AR$177,"&gt;"&amp;AR44)+COUNTIFS(AR$6:AR44,"="&amp;AR44)))</f>
        <v/>
      </c>
      <c r="AN44" s="134" t="str">
        <f>IFERROR(IF(OR(AD44=0,AD44=""),"",IF(COUNTIFS($AS$6:$AS$177,"&gt;"&amp;AS44)+COUNTIFS(AS$6:AS44,"="&amp;AS44)=0,"",COUNTIFS($AS$6:$AS$177,"&gt;"&amp;AS44)+COUNTIFS(AS$6:AS44,"="&amp;AS44)+$AM$5)),"")</f>
        <v/>
      </c>
      <c r="AO44" s="134" t="str">
        <f>IFERROR(IF(OR(AD44=0,AD44=""),"",IF(COUNTIFS($AT$6:$AT$177,"&gt;"&amp;AT44)+COUNTIFS(AT$6:AT44,"="&amp;AT44)=0,"",COUNTIFS($AT$6:$AT$177,"&gt;"&amp;AT44)+COUNTIFS(AT$6:AT44,"="&amp;AT44)+$AN$5)),"")</f>
        <v/>
      </c>
      <c r="AP44" s="134">
        <f>IFERROR(IF(OR(AD44=0,AD44=""),"",IF(COUNTIFS($AU$6:$AU$177,"&gt;"&amp;AU44)+COUNTIFS(AU$6:AU44,"="&amp;AU44)=0,"",COUNTIFS($AU$6:$AU$177,"&gt;"&amp;AU44)+COUNTIFS(AU$6:AU44,"="&amp;AU44)+$AO$5)),"")</f>
        <v>42</v>
      </c>
      <c r="AQ44" s="134" t="str">
        <f>IFERROR(IF(OR(AD44=0,AD44=""),"",IF(COUNTIFS($AV$6:$AV$177,"&gt;"&amp;AV44)+COUNTIFS(AV$6:AV44,"="&amp;AV44)=0,"",COUNTIFS($AV$6:$AV$177,"&gt;"&amp;AV44)+COUNTIFS(AV$6:AV44,"="&amp;AV44)+$AP$5)),"")</f>
        <v/>
      </c>
      <c r="AR44" s="78" t="str">
        <f t="shared" si="12"/>
        <v/>
      </c>
      <c r="AS44" s="78" t="str">
        <f t="shared" si="13"/>
        <v/>
      </c>
      <c r="AT44" s="78" t="str">
        <f t="shared" si="14"/>
        <v/>
      </c>
      <c r="AU44" s="78">
        <f t="shared" si="15"/>
        <v>0.72972972972972971</v>
      </c>
      <c r="AV44" s="78" t="str">
        <f t="shared" si="16"/>
        <v/>
      </c>
    </row>
    <row r="45" spans="1:48" ht="16.5" customHeight="1" x14ac:dyDescent="0.3">
      <c r="A45" t="str">
        <f>IF(AD45="","",COUNTIFS($H$6:$H$120,H45,$AF$6:$AF$120,"&gt;"&amp;AF45)+COUNTIFS(H45:$H$120,H45,AF45:$AF$120,AF45))</f>
        <v/>
      </c>
      <c r="C45" t="str">
        <f t="shared" si="10"/>
        <v/>
      </c>
      <c r="D45" t="str">
        <f>IF(AG45=0,"",IF(COUNTIFS($AG$6:$AG$177,"&gt;"&amp;AG45)+COUNTIFS(AG$6:AG45,"="&amp;AG45)=0,"",COUNTIFS($AG$6:$AG$177,"&gt;"&amp;AG45)+COUNTIFS(AG$6:AG45,"="&amp;AG45)))</f>
        <v/>
      </c>
      <c r="F45" s="17" t="s">
        <v>97</v>
      </c>
      <c r="G45" s="107">
        <f>IFERROR(IF(VLOOKUP(F45,Lookups!$A$2:$F$111,2,FALSE)="","",VLOOKUP(F45,Lookups!$A$2:$F$111,2,FALSE)),"")</f>
        <v>1377</v>
      </c>
      <c r="H45" s="107" t="str">
        <f>IFERROR(IF(VLOOKUP(F45,Lookups!$A$2:$F$111,3,FALSE)="","",VLOOKUP(F45,Lookups!$A$2:$F$111,3,FALSE)),"")</f>
        <v>B</v>
      </c>
      <c r="I45" s="107" t="str">
        <f>IFERROR(IF(AF45=0,"",VLOOKUP(AF45,Lookups!$K$2:$L$6,2,TRUE)),"")</f>
        <v/>
      </c>
      <c r="J45" s="107" t="str">
        <f>IF(AD45&lt;Lookups!$I$5,"Y","N")</f>
        <v>N</v>
      </c>
      <c r="K45" s="107" t="str">
        <f>IFERROR(IF(VLOOKUP(F45,Lookups!$A$2:$F$111,4,FALSE)="","",VLOOKUP(F45,Lookups!$A$2:$F$111,4,FALSE)),"")</f>
        <v>PCP</v>
      </c>
      <c r="L45" s="107" t="str">
        <f>IFERROR(IF(VLOOKUP(F45,Lookups!$A$2:$F$111,5,FALSE)="","",VLOOKUP(F45,Lookups!$A$2:$F$111,5,FALSE)),"")</f>
        <v>Newbury</v>
      </c>
      <c r="M45" s="108" t="str">
        <f>IFERROR(IF(VLOOKUP(F45,Lookups!$A$2:$F$111,6,FALSE)="","",VLOOKUP(F45,Lookups!$A$2:$F$111,6,FALSE)),"")</f>
        <v/>
      </c>
      <c r="N45" s="57" t="str">
        <f>IFERROR(IF(VLOOKUP(F45,Scores!$A$1:$I$99,2,FALSE)="","",VLOOKUP(F45,Scores!$A$1:$I$99,2,FALSE)),"")</f>
        <v/>
      </c>
      <c r="O45" s="58" t="str">
        <f>IFERROR(IF(VLOOKUP(F45,Scores!$A$1:$I$99,3,FALSE)="","",VLOOKUP(F45,Scores!$A$1:$I$99,3,FALSE)),"")</f>
        <v/>
      </c>
      <c r="P45" s="58" t="str">
        <f>IFERROR(IF(VLOOKUP(F45,Scores!$A$1:$I$99,4,FALSE)="","",VLOOKUP(F45,Scores!$A$1:$I$99,4,FALSE)),"")</f>
        <v/>
      </c>
      <c r="Q45" s="58" t="str">
        <f>IFERROR(IF(VLOOKUP(F45,Scores!$A$1:$I$99,5,FALSE)="","",VLOOKUP(F45,Scores!$A$1:$I$99,5,FALSE)),"")</f>
        <v/>
      </c>
      <c r="R45" s="58" t="str">
        <f>IFERROR(IF(VLOOKUP(F45,Scores!$A$1:$I$99,6,FALSE)="","",VLOOKUP(F45,Scores!$A$1:$I$99,6,FALSE)),"")</f>
        <v/>
      </c>
      <c r="S45" s="58" t="str">
        <f>IFERROR(IF(VLOOKUP(F45,Scores!$A$1:$I$99,7,FALSE)="","",VLOOKUP(F45,Scores!$A$1:$I$99,7,FALSE)),"")</f>
        <v/>
      </c>
      <c r="T45" s="58" t="str">
        <f>IFERROR(IF(VLOOKUP(F45,Scores!$A$1:$I$99,8,FALSE)="","",VLOOKUP(F45,Scores!$A$1:$I$99,8,FALSE)),"")</f>
        <v/>
      </c>
      <c r="U45" s="60" t="str">
        <f>IFERROR(IF(VLOOKUP(F45,Scores!$A$1:$I$99,9,FALSE)="","",VLOOKUP(F45,Scores!$A$1:$I$99,9,FALSE)),"")</f>
        <v/>
      </c>
      <c r="V45" s="54" t="str">
        <f t="shared" si="28"/>
        <v/>
      </c>
      <c r="W45" s="55" t="str">
        <f t="shared" si="29"/>
        <v/>
      </c>
      <c r="X45" s="55" t="str">
        <f t="shared" si="30"/>
        <v/>
      </c>
      <c r="Y45" s="55" t="str">
        <f t="shared" si="31"/>
        <v/>
      </c>
      <c r="Z45" s="55" t="str">
        <f t="shared" si="32"/>
        <v/>
      </c>
      <c r="AA45" s="55" t="str">
        <f t="shared" si="33"/>
        <v/>
      </c>
      <c r="AB45" s="55" t="str">
        <f t="shared" si="34"/>
        <v/>
      </c>
      <c r="AC45" s="56" t="str">
        <f t="shared" si="35"/>
        <v/>
      </c>
      <c r="AD45" s="79" t="str">
        <f t="shared" si="25"/>
        <v/>
      </c>
      <c r="AE45" s="59" t="str">
        <f t="shared" si="26"/>
        <v/>
      </c>
      <c r="AF45" s="55" t="str" cm="1">
        <f t="array" ref="AF45">IFERROR(IF(AD45&gt;Lookups!$I$5-1,AVERAGE(LARGE(V45:AC45,_xlfn.SEQUENCE(Lookups!$I$5))),AVERAGE(LARGE(V45:AC45,_xlfn.SEQUENCE(AD45)))),"")</f>
        <v/>
      </c>
      <c r="AG45" s="124" t="str">
        <f t="shared" si="27"/>
        <v/>
      </c>
      <c r="AH45" s="78" t="str">
        <f>IF(AD45=Lookups!$I$5+1,LARGE(V45:AC45,5),"")</f>
        <v/>
      </c>
      <c r="AI45" s="78" t="str">
        <f>IF(AD45=Lookups!$I$5+2,LARGE(V45:AC45,6),"")</f>
        <v/>
      </c>
      <c r="AJ45" s="78"/>
      <c r="AK45" s="78"/>
      <c r="AL45" s="140" t="str">
        <f t="shared" si="11"/>
        <v/>
      </c>
      <c r="AM45" s="134" t="str">
        <f>IF(OR(AD45=0,AD45=""),"",IF(COUNTIFS($AR$6:$AR$177,"&gt;"&amp;AR45)+COUNTIFS(AR$6:AR45,"="&amp;AR45)=0,"",COUNTIFS($AR$6:$AR$177,"&gt;"&amp;AR45)+COUNTIFS(AR$6:AR45,"="&amp;AR45)))</f>
        <v/>
      </c>
      <c r="AN45" s="134" t="str">
        <f>IFERROR(IF(OR(AD45=0,AD45=""),"",IF(COUNTIFS($AS$6:$AS$177,"&gt;"&amp;AS45)+COUNTIFS(AS$6:AS45,"="&amp;AS45)=0,"",COUNTIFS($AS$6:$AS$177,"&gt;"&amp;AS45)+COUNTIFS(AS$6:AS45,"="&amp;AS45)+$AM$5)),"")</f>
        <v/>
      </c>
      <c r="AO45" s="134" t="str">
        <f>IFERROR(IF(OR(AD45=0,AD45=""),"",IF(COUNTIFS($AT$6:$AT$177,"&gt;"&amp;AT45)+COUNTIFS(AT$6:AT45,"="&amp;AT45)=0,"",COUNTIFS($AT$6:$AT$177,"&gt;"&amp;AT45)+COUNTIFS(AT$6:AT45,"="&amp;AT45)+$AN$5)),"")</f>
        <v/>
      </c>
      <c r="AP45" s="134" t="str">
        <f>IFERROR(IF(OR(AD45=0,AD45=""),"",IF(COUNTIFS($AU$6:$AU$177,"&gt;"&amp;AU45)+COUNTIFS(AU$6:AU45,"="&amp;AU45)=0,"",COUNTIFS($AU$6:$AU$177,"&gt;"&amp;AU45)+COUNTIFS(AU$6:AU45,"="&amp;AU45)+$AO$5)),"")</f>
        <v/>
      </c>
      <c r="AQ45" s="134" t="str">
        <f>IFERROR(IF(OR(AD45=0,AD45=""),"",IF(COUNTIFS($AV$6:$AV$177,"&gt;"&amp;AV45)+COUNTIFS(AV$6:AV45,"="&amp;AV45)=0,"",COUNTIFS($AV$6:$AV$177,"&gt;"&amp;AV45)+COUNTIFS(AV$6:AV45,"="&amp;AV45)+$AP$5)),"")</f>
        <v/>
      </c>
      <c r="AR45" s="78" t="str">
        <f t="shared" si="12"/>
        <v/>
      </c>
      <c r="AS45" s="78" t="str">
        <f t="shared" si="13"/>
        <v/>
      </c>
      <c r="AT45" s="78" t="str">
        <f t="shared" si="14"/>
        <v/>
      </c>
      <c r="AU45" s="78" t="str">
        <f t="shared" si="15"/>
        <v/>
      </c>
      <c r="AV45" s="78" t="str">
        <f t="shared" si="16"/>
        <v/>
      </c>
    </row>
    <row r="46" spans="1:48" ht="16.5" customHeight="1" x14ac:dyDescent="0.3">
      <c r="A46" t="str">
        <f>IF(AD46="","",COUNTIFS($H$6:$H$120,H46,$AF$6:$AF$120,"&gt;"&amp;AF46)+COUNTIFS(H46:$H$120,H46,AF46:$AF$120,AF46))</f>
        <v/>
      </c>
      <c r="C46" t="str">
        <f t="shared" si="10"/>
        <v/>
      </c>
      <c r="D46" t="str">
        <f>IF(AG46=0,"",IF(COUNTIFS($AG$6:$AG$177,"&gt;"&amp;AG46)+COUNTIFS(AG$6:AG46,"="&amp;AG46)=0,"",COUNTIFS($AG$6:$AG$177,"&gt;"&amp;AG46)+COUNTIFS(AG$6:AG46,"="&amp;AG46)))</f>
        <v/>
      </c>
      <c r="F46" s="17" t="s">
        <v>92</v>
      </c>
      <c r="G46" s="107">
        <f>IFERROR(IF(VLOOKUP(F46,Lookups!$A$2:$F$111,2,FALSE)="","",VLOOKUP(F46,Lookups!$A$2:$F$111,2,FALSE)),"")</f>
        <v>1479</v>
      </c>
      <c r="H46" s="107" t="str">
        <f>IFERROR(IF(VLOOKUP(F46,Lookups!$A$2:$F$111,3,FALSE)="","",VLOOKUP(F46,Lookups!$A$2:$F$111,3,FALSE)),"")</f>
        <v>B</v>
      </c>
      <c r="I46" s="107" t="str">
        <f>IFERROR(IF(AF46=0,"",VLOOKUP(AF46,Lookups!$K$2:$L$6,2,TRUE)),"")</f>
        <v/>
      </c>
      <c r="J46" s="107" t="str">
        <f>IF(AD46&lt;Lookups!$I$5,"Y","N")</f>
        <v>N</v>
      </c>
      <c r="K46" s="107" t="str">
        <f>IFERROR(IF(VLOOKUP(F46,Lookups!$A$2:$F$111,4,FALSE)="","",VLOOKUP(F46,Lookups!$A$2:$F$111,4,FALSE)),"")</f>
        <v>PCP</v>
      </c>
      <c r="L46" s="107" t="str">
        <f>IFERROR(IF(VLOOKUP(F46,Lookups!$A$2:$F$111,5,FALSE)="","",VLOOKUP(F46,Lookups!$A$2:$F$111,5,FALSE)),"")</f>
        <v>Meon</v>
      </c>
      <c r="M46" s="108" t="str">
        <f>IFERROR(IF(VLOOKUP(F46,Lookups!$A$2:$F$111,6,FALSE)="","",VLOOKUP(F46,Lookups!$A$2:$F$111,6,FALSE)),"")</f>
        <v/>
      </c>
      <c r="N46" s="57" t="str">
        <f>IFERROR(IF(VLOOKUP(F46,Scores!$A$1:$I$99,2,FALSE)="","",VLOOKUP(F46,Scores!$A$1:$I$99,2,FALSE)),"")</f>
        <v/>
      </c>
      <c r="O46" s="58" t="str">
        <f>IFERROR(IF(VLOOKUP(F46,Scores!$A$1:$I$99,3,FALSE)="","",VLOOKUP(F46,Scores!$A$1:$I$99,3,FALSE)),"")</f>
        <v/>
      </c>
      <c r="P46" s="58" t="str">
        <f>IFERROR(IF(VLOOKUP(F46,Scores!$A$1:$I$99,4,FALSE)="","",VLOOKUP(F46,Scores!$A$1:$I$99,4,FALSE)),"")</f>
        <v/>
      </c>
      <c r="Q46" s="58" t="str">
        <f>IFERROR(IF(VLOOKUP(F46,Scores!$A$1:$I$99,5,FALSE)="","",VLOOKUP(F46,Scores!$A$1:$I$99,5,FALSE)),"")</f>
        <v/>
      </c>
      <c r="R46" s="58" t="str">
        <f>IFERROR(IF(VLOOKUP(F46,Scores!$A$1:$I$99,6,FALSE)="","",VLOOKUP(F46,Scores!$A$1:$I$99,6,FALSE)),"")</f>
        <v/>
      </c>
      <c r="S46" s="58" t="str">
        <f>IFERROR(IF(VLOOKUP(F46,Scores!$A$1:$I$99,7,FALSE)="","",VLOOKUP(F46,Scores!$A$1:$I$99,7,FALSE)),"")</f>
        <v/>
      </c>
      <c r="T46" s="58" t="str">
        <f>IFERROR(IF(VLOOKUP(F46,Scores!$A$1:$I$99,8,FALSE)="","",VLOOKUP(F46,Scores!$A$1:$I$99,8,FALSE)),"")</f>
        <v/>
      </c>
      <c r="U46" s="60" t="str">
        <f>IFERROR(IF(VLOOKUP(F46,Scores!$A$1:$I$99,9,FALSE)="","",VLOOKUP(F46,Scores!$A$1:$I$99,9,FALSE)),"")</f>
        <v/>
      </c>
      <c r="V46" s="54" t="str">
        <f t="shared" si="28"/>
        <v/>
      </c>
      <c r="W46" s="55" t="str">
        <f t="shared" si="29"/>
        <v/>
      </c>
      <c r="X46" s="55" t="str">
        <f t="shared" si="30"/>
        <v/>
      </c>
      <c r="Y46" s="55" t="str">
        <f t="shared" si="31"/>
        <v/>
      </c>
      <c r="Z46" s="55" t="str">
        <f t="shared" si="32"/>
        <v/>
      </c>
      <c r="AA46" s="55" t="str">
        <f t="shared" si="33"/>
        <v/>
      </c>
      <c r="AB46" s="55" t="str">
        <f t="shared" si="34"/>
        <v/>
      </c>
      <c r="AC46" s="56" t="str">
        <f t="shared" si="35"/>
        <v/>
      </c>
      <c r="AD46" s="79" t="str">
        <f t="shared" si="25"/>
        <v/>
      </c>
      <c r="AE46" s="59" t="str">
        <f t="shared" si="26"/>
        <v/>
      </c>
      <c r="AF46" s="55" t="str" cm="1">
        <f t="array" ref="AF46">IFERROR(IF(AD46&gt;Lookups!$I$5-1,AVERAGE(LARGE(V46:AC46,_xlfn.SEQUENCE(Lookups!$I$5))),AVERAGE(LARGE(V46:AC46,_xlfn.SEQUENCE(AD46)))),"")</f>
        <v/>
      </c>
      <c r="AG46" s="124" t="str">
        <f t="shared" si="27"/>
        <v/>
      </c>
      <c r="AH46" s="78" t="str">
        <f>IF(AD46=Lookups!$I$5+1,LARGE(V46:AC46,5),"")</f>
        <v/>
      </c>
      <c r="AI46" s="78" t="str">
        <f>IF(AD46=Lookups!$I$5+2,LARGE(V46:AC46,6),"")</f>
        <v/>
      </c>
      <c r="AJ46" s="78"/>
      <c r="AK46" s="78"/>
      <c r="AL46" s="140" t="str">
        <f t="shared" si="11"/>
        <v/>
      </c>
      <c r="AM46" s="134" t="str">
        <f>IF(OR(AD46=0,AD46=""),"",IF(COUNTIFS($AR$6:$AR$177,"&gt;"&amp;AR46)+COUNTIFS(AR$6:AR46,"="&amp;AR46)=0,"",COUNTIFS($AR$6:$AR$177,"&gt;"&amp;AR46)+COUNTIFS(AR$6:AR46,"="&amp;AR46)))</f>
        <v/>
      </c>
      <c r="AN46" s="134" t="str">
        <f>IFERROR(IF(OR(AD46=0,AD46=""),"",IF(COUNTIFS($AS$6:$AS$177,"&gt;"&amp;AS46)+COUNTIFS(AS$6:AS46,"="&amp;AS46)=0,"",COUNTIFS($AS$6:$AS$177,"&gt;"&amp;AS46)+COUNTIFS(AS$6:AS46,"="&amp;AS46)+$AM$5)),"")</f>
        <v/>
      </c>
      <c r="AO46" s="134" t="str">
        <f>IFERROR(IF(OR(AD46=0,AD46=""),"",IF(COUNTIFS($AT$6:$AT$177,"&gt;"&amp;AT46)+COUNTIFS(AT$6:AT46,"="&amp;AT46)=0,"",COUNTIFS($AT$6:$AT$177,"&gt;"&amp;AT46)+COUNTIFS(AT$6:AT46,"="&amp;AT46)+$AN$5)),"")</f>
        <v/>
      </c>
      <c r="AP46" s="134" t="str">
        <f>IFERROR(IF(OR(AD46=0,AD46=""),"",IF(COUNTIFS($AU$6:$AU$177,"&gt;"&amp;AU46)+COUNTIFS(AU$6:AU46,"="&amp;AU46)=0,"",COUNTIFS($AU$6:$AU$177,"&gt;"&amp;AU46)+COUNTIFS(AU$6:AU46,"="&amp;AU46)+$AO$5)),"")</f>
        <v/>
      </c>
      <c r="AQ46" s="134" t="str">
        <f>IFERROR(IF(OR(AD46=0,AD46=""),"",IF(COUNTIFS($AV$6:$AV$177,"&gt;"&amp;AV46)+COUNTIFS(AV$6:AV46,"="&amp;AV46)=0,"",COUNTIFS($AV$6:$AV$177,"&gt;"&amp;AV46)+COUNTIFS(AV$6:AV46,"="&amp;AV46)+$AP$5)),"")</f>
        <v/>
      </c>
      <c r="AR46" s="78" t="str">
        <f t="shared" si="12"/>
        <v/>
      </c>
      <c r="AS46" s="78" t="str">
        <f t="shared" si="13"/>
        <v/>
      </c>
      <c r="AT46" s="78" t="str">
        <f t="shared" si="14"/>
        <v/>
      </c>
      <c r="AU46" s="78" t="str">
        <f t="shared" si="15"/>
        <v/>
      </c>
      <c r="AV46" s="78" t="str">
        <f t="shared" si="16"/>
        <v/>
      </c>
    </row>
    <row r="47" spans="1:48" ht="16.5" customHeight="1" x14ac:dyDescent="0.3">
      <c r="A47" t="str">
        <f>IF(AD47="","",COUNTIFS($H$6:$H$120,H47,$AF$6:$AF$120,"&gt;"&amp;AF47)+COUNTIFS(H47:$H$120,H47,AF47:$AF$120,AF47))</f>
        <v/>
      </c>
      <c r="C47" t="str">
        <f t="shared" si="10"/>
        <v/>
      </c>
      <c r="D47" t="str">
        <f>IF(AG47=0,"",IF(COUNTIFS($AG$6:$AG$177,"&gt;"&amp;AG47)+COUNTIFS(AG$6:AG47,"="&amp;AG47)=0,"",COUNTIFS($AG$6:$AG$177,"&gt;"&amp;AG47)+COUNTIFS(AG$6:AG47,"="&amp;AG47)))</f>
        <v/>
      </c>
      <c r="F47" s="17" t="s">
        <v>93</v>
      </c>
      <c r="G47" s="107">
        <f>IFERROR(IF(VLOOKUP(F47,Lookups!$A$2:$F$111,2,FALSE)="","",VLOOKUP(F47,Lookups!$A$2:$F$111,2,FALSE)),"")</f>
        <v>1522</v>
      </c>
      <c r="H47" s="107" t="str">
        <f>IFERROR(IF(VLOOKUP(F47,Lookups!$A$2:$F$111,3,FALSE)="","",VLOOKUP(F47,Lookups!$A$2:$F$111,3,FALSE)),"")</f>
        <v>B</v>
      </c>
      <c r="I47" s="107" t="str">
        <f>IFERROR(IF(AF47=0,"",VLOOKUP(AF47,Lookups!$K$2:$L$6,2,TRUE)),"")</f>
        <v/>
      </c>
      <c r="J47" s="107" t="str">
        <f>IF(AD47&lt;Lookups!$I$5,"Y","N")</f>
        <v>N</v>
      </c>
      <c r="K47" s="107" t="str">
        <f>IFERROR(IF(VLOOKUP(F47,Lookups!$A$2:$F$111,4,FALSE)="","",VLOOKUP(F47,Lookups!$A$2:$F$111,4,FALSE)),"")</f>
        <v>PCP</v>
      </c>
      <c r="L47" s="107" t="str">
        <f>IFERROR(IF(VLOOKUP(F47,Lookups!$A$2:$F$111,5,FALSE)="","",VLOOKUP(F47,Lookups!$A$2:$F$111,5,FALSE)),"")</f>
        <v>Newbury</v>
      </c>
      <c r="M47" s="108" t="str">
        <f>IFERROR(IF(VLOOKUP(F47,Lookups!$A$2:$F$111,6,FALSE)="","",VLOOKUP(F47,Lookups!$A$2:$F$111,6,FALSE)),"")</f>
        <v/>
      </c>
      <c r="N47" s="57" t="str">
        <f>IFERROR(IF(VLOOKUP(F47,Scores!$A$1:$I$99,2,FALSE)="","",VLOOKUP(F47,Scores!$A$1:$I$99,2,FALSE)),"")</f>
        <v/>
      </c>
      <c r="O47" s="58" t="str">
        <f>IFERROR(IF(VLOOKUP(F47,Scores!$A$1:$I$99,3,FALSE)="","",VLOOKUP(F47,Scores!$A$1:$I$99,3,FALSE)),"")</f>
        <v/>
      </c>
      <c r="P47" s="58" t="str">
        <f>IFERROR(IF(VLOOKUP(F47,Scores!$A$1:$I$99,4,FALSE)="","",VLOOKUP(F47,Scores!$A$1:$I$99,4,FALSE)),"")</f>
        <v/>
      </c>
      <c r="Q47" s="58" t="str">
        <f>IFERROR(IF(VLOOKUP(F47,Scores!$A$1:$I$99,5,FALSE)="","",VLOOKUP(F47,Scores!$A$1:$I$99,5,FALSE)),"")</f>
        <v/>
      </c>
      <c r="R47" s="58" t="str">
        <f>IFERROR(IF(VLOOKUP(F47,Scores!$A$1:$I$99,6,FALSE)="","",VLOOKUP(F47,Scores!$A$1:$I$99,6,FALSE)),"")</f>
        <v/>
      </c>
      <c r="S47" s="58" t="str">
        <f>IFERROR(IF(VLOOKUP(F47,Scores!$A$1:$I$99,7,FALSE)="","",VLOOKUP(F47,Scores!$A$1:$I$99,7,FALSE)),"")</f>
        <v/>
      </c>
      <c r="T47" s="58" t="str">
        <f>IFERROR(IF(VLOOKUP(F47,Scores!$A$1:$I$99,8,FALSE)="","",VLOOKUP(F47,Scores!$A$1:$I$99,8,FALSE)),"")</f>
        <v/>
      </c>
      <c r="U47" s="60" t="str">
        <f>IFERROR(IF(VLOOKUP(F47,Scores!$A$1:$I$99,9,FALSE)="","",VLOOKUP(F47,Scores!$A$1:$I$99,9,FALSE)),"")</f>
        <v/>
      </c>
      <c r="V47" s="54" t="str">
        <f t="shared" si="28"/>
        <v/>
      </c>
      <c r="W47" s="55" t="str">
        <f t="shared" si="29"/>
        <v/>
      </c>
      <c r="X47" s="55" t="str">
        <f t="shared" si="30"/>
        <v/>
      </c>
      <c r="Y47" s="55" t="str">
        <f t="shared" si="31"/>
        <v/>
      </c>
      <c r="Z47" s="55" t="str">
        <f t="shared" si="32"/>
        <v/>
      </c>
      <c r="AA47" s="55" t="str">
        <f t="shared" si="33"/>
        <v/>
      </c>
      <c r="AB47" s="55" t="str">
        <f t="shared" si="34"/>
        <v/>
      </c>
      <c r="AC47" s="56" t="str">
        <f t="shared" si="35"/>
        <v/>
      </c>
      <c r="AD47" s="79" t="str">
        <f t="shared" si="25"/>
        <v/>
      </c>
      <c r="AE47" s="59" t="str">
        <f t="shared" si="26"/>
        <v/>
      </c>
      <c r="AF47" s="55" t="str" cm="1">
        <f t="array" ref="AF47">IFERROR(IF(AD47&gt;Lookups!$I$5-1,AVERAGE(LARGE(V47:AC47,_xlfn.SEQUENCE(Lookups!$I$5))),AVERAGE(LARGE(V47:AC47,_xlfn.SEQUENCE(AD47)))),"")</f>
        <v/>
      </c>
      <c r="AG47" s="124" t="str">
        <f t="shared" si="27"/>
        <v/>
      </c>
      <c r="AH47" s="78" t="str">
        <f>IF(AD47=Lookups!$I$5+1,LARGE(V47:AC47,5),"")</f>
        <v/>
      </c>
      <c r="AI47" s="78" t="str">
        <f>IF(AD47=Lookups!$I$5+2,LARGE(V47:AC47,6),"")</f>
        <v/>
      </c>
      <c r="AJ47" s="78"/>
      <c r="AK47" s="78"/>
      <c r="AL47" s="140" t="str">
        <f t="shared" si="11"/>
        <v/>
      </c>
      <c r="AM47" s="134" t="str">
        <f>IF(OR(AD47=0,AD47=""),"",IF(COUNTIFS($AR$6:$AR$177,"&gt;"&amp;AR47)+COUNTIFS(AR$6:AR47,"="&amp;AR47)=0,"",COUNTIFS($AR$6:$AR$177,"&gt;"&amp;AR47)+COUNTIFS(AR$6:AR47,"="&amp;AR47)))</f>
        <v/>
      </c>
      <c r="AN47" s="134" t="str">
        <f>IFERROR(IF(OR(AD47=0,AD47=""),"",IF(COUNTIFS($AS$6:$AS$177,"&gt;"&amp;AS47)+COUNTIFS(AS$6:AS47,"="&amp;AS47)=0,"",COUNTIFS($AS$6:$AS$177,"&gt;"&amp;AS47)+COUNTIFS(AS$6:AS47,"="&amp;AS47)+$AM$5)),"")</f>
        <v/>
      </c>
      <c r="AO47" s="134" t="str">
        <f>IFERROR(IF(OR(AD47=0,AD47=""),"",IF(COUNTIFS($AT$6:$AT$177,"&gt;"&amp;AT47)+COUNTIFS(AT$6:AT47,"="&amp;AT47)=0,"",COUNTIFS($AT$6:$AT$177,"&gt;"&amp;AT47)+COUNTIFS(AT$6:AT47,"="&amp;AT47)+$AN$5)),"")</f>
        <v/>
      </c>
      <c r="AP47" s="134" t="str">
        <f>IFERROR(IF(OR(AD47=0,AD47=""),"",IF(COUNTIFS($AU$6:$AU$177,"&gt;"&amp;AU47)+COUNTIFS(AU$6:AU47,"="&amp;AU47)=0,"",COUNTIFS($AU$6:$AU$177,"&gt;"&amp;AU47)+COUNTIFS(AU$6:AU47,"="&amp;AU47)+$AO$5)),"")</f>
        <v/>
      </c>
      <c r="AQ47" s="134" t="str">
        <f>IFERROR(IF(OR(AD47=0,AD47=""),"",IF(COUNTIFS($AV$6:$AV$177,"&gt;"&amp;AV47)+COUNTIFS(AV$6:AV47,"="&amp;AV47)=0,"",COUNTIFS($AV$6:$AV$177,"&gt;"&amp;AV47)+COUNTIFS(AV$6:AV47,"="&amp;AV47)+$AP$5)),"")</f>
        <v/>
      </c>
      <c r="AR47" s="78" t="str">
        <f t="shared" si="12"/>
        <v/>
      </c>
      <c r="AS47" s="78" t="str">
        <f t="shared" si="13"/>
        <v/>
      </c>
      <c r="AT47" s="78" t="str">
        <f t="shared" si="14"/>
        <v/>
      </c>
      <c r="AU47" s="78" t="str">
        <f t="shared" si="15"/>
        <v/>
      </c>
      <c r="AV47" s="78" t="str">
        <f t="shared" si="16"/>
        <v/>
      </c>
    </row>
    <row r="48" spans="1:48" ht="16.5" customHeight="1" x14ac:dyDescent="0.3">
      <c r="A48" t="str">
        <f>IF(AD48="","",COUNTIFS($H$6:$H$120,H48,$AF$6:$AF$120,"&gt;"&amp;AF48)+COUNTIFS(H48:$H$120,H48,AF48:$AF$120,AF48))</f>
        <v/>
      </c>
      <c r="C48" t="str">
        <f t="shared" si="10"/>
        <v/>
      </c>
      <c r="D48" t="str">
        <f>IF(AG48=0,"",IF(COUNTIFS($AG$6:$AG$177,"&gt;"&amp;AG48)+COUNTIFS(AG$6:AG48,"="&amp;AG48)=0,"",COUNTIFS($AG$6:$AG$177,"&gt;"&amp;AG48)+COUNTIFS(AG$6:AG48,"="&amp;AG48)))</f>
        <v/>
      </c>
      <c r="F48" s="17" t="s">
        <v>91</v>
      </c>
      <c r="G48" s="107">
        <f>IFERROR(IF(VLOOKUP(F48,Lookups!$A$2:$F$111,2,FALSE)="","",VLOOKUP(F48,Lookups!$A$2:$F$111,2,FALSE)),"")</f>
        <v>1562</v>
      </c>
      <c r="H48" s="107" t="str">
        <f>IFERROR(IF(VLOOKUP(F48,Lookups!$A$2:$F$111,3,FALSE)="","",VLOOKUP(F48,Lookups!$A$2:$F$111,3,FALSE)),"")</f>
        <v>B</v>
      </c>
      <c r="I48" s="107" t="str">
        <f>IFERROR(IF(AF48=0,"",VLOOKUP(AF48,Lookups!$K$2:$L$6,2,TRUE)),"")</f>
        <v/>
      </c>
      <c r="J48" s="107" t="str">
        <f>IF(AD48&lt;Lookups!$I$5,"Y","N")</f>
        <v>N</v>
      </c>
      <c r="K48" s="107" t="str">
        <f>IFERROR(IF(VLOOKUP(F48,Lookups!$A$2:$F$111,4,FALSE)="","",VLOOKUP(F48,Lookups!$A$2:$F$111,4,FALSE)),"")</f>
        <v>PCP</v>
      </c>
      <c r="L48" s="107" t="str">
        <f>IFERROR(IF(VLOOKUP(F48,Lookups!$A$2:$F$111,5,FALSE)="","",VLOOKUP(F48,Lookups!$A$2:$F$111,5,FALSE)),"")</f>
        <v>Newbury</v>
      </c>
      <c r="M48" s="108" t="str">
        <f>IFERROR(IF(VLOOKUP(F48,Lookups!$A$2:$F$111,6,FALSE)="","",VLOOKUP(F48,Lookups!$A$2:$F$111,6,FALSE)),"")</f>
        <v/>
      </c>
      <c r="N48" s="57" t="str">
        <f>IFERROR(IF(VLOOKUP(F48,Scores!$A$1:$I$99,2,FALSE)="","",VLOOKUP(F48,Scores!$A$1:$I$99,2,FALSE)),"")</f>
        <v/>
      </c>
      <c r="O48" s="58" t="str">
        <f>IFERROR(IF(VLOOKUP(F48,Scores!$A$1:$I$99,3,FALSE)="","",VLOOKUP(F48,Scores!$A$1:$I$99,3,FALSE)),"")</f>
        <v/>
      </c>
      <c r="P48" s="58" t="str">
        <f>IFERROR(IF(VLOOKUP(F48,Scores!$A$1:$I$99,4,FALSE)="","",VLOOKUP(F48,Scores!$A$1:$I$99,4,FALSE)),"")</f>
        <v/>
      </c>
      <c r="Q48" s="58" t="str">
        <f>IFERROR(IF(VLOOKUP(F48,Scores!$A$1:$I$99,5,FALSE)="","",VLOOKUP(F48,Scores!$A$1:$I$99,5,FALSE)),"")</f>
        <v/>
      </c>
      <c r="R48" s="58" t="str">
        <f>IFERROR(IF(VLOOKUP(F48,Scores!$A$1:$I$99,6,FALSE)="","",VLOOKUP(F48,Scores!$A$1:$I$99,6,FALSE)),"")</f>
        <v/>
      </c>
      <c r="S48" s="58" t="str">
        <f>IFERROR(IF(VLOOKUP(F48,Scores!$A$1:$I$99,7,FALSE)="","",VLOOKUP(F48,Scores!$A$1:$I$99,7,FALSE)),"")</f>
        <v/>
      </c>
      <c r="T48" s="58" t="str">
        <f>IFERROR(IF(VLOOKUP(F48,Scores!$A$1:$I$99,8,FALSE)="","",VLOOKUP(F48,Scores!$A$1:$I$99,8,FALSE)),"")</f>
        <v/>
      </c>
      <c r="U48" s="60" t="str">
        <f>IFERROR(IF(VLOOKUP(F48,Scores!$A$1:$I$99,9,FALSE)="","",VLOOKUP(F48,Scores!$A$1:$I$99,9,FALSE)),"")</f>
        <v/>
      </c>
      <c r="V48" s="54" t="str">
        <f t="shared" si="28"/>
        <v/>
      </c>
      <c r="W48" s="55" t="str">
        <f t="shared" si="29"/>
        <v/>
      </c>
      <c r="X48" s="55" t="str">
        <f t="shared" si="30"/>
        <v/>
      </c>
      <c r="Y48" s="55" t="str">
        <f t="shared" si="31"/>
        <v/>
      </c>
      <c r="Z48" s="55" t="str">
        <f t="shared" si="32"/>
        <v/>
      </c>
      <c r="AA48" s="55" t="str">
        <f t="shared" si="33"/>
        <v/>
      </c>
      <c r="AB48" s="55" t="str">
        <f t="shared" si="34"/>
        <v/>
      </c>
      <c r="AC48" s="56" t="str">
        <f t="shared" si="35"/>
        <v/>
      </c>
      <c r="AD48" s="79" t="str">
        <f t="shared" si="25"/>
        <v/>
      </c>
      <c r="AE48" s="59" t="str">
        <f t="shared" si="26"/>
        <v/>
      </c>
      <c r="AF48" s="55" t="str" cm="1">
        <f t="array" ref="AF48">IFERROR(IF(AD48&gt;Lookups!$I$5-1,AVERAGE(LARGE(V48:AC48,_xlfn.SEQUENCE(Lookups!$I$5))),AVERAGE(LARGE(V48:AC48,_xlfn.SEQUENCE(AD48)))),"")</f>
        <v/>
      </c>
      <c r="AG48" s="124" t="str">
        <f t="shared" si="27"/>
        <v/>
      </c>
      <c r="AH48" s="78" t="str">
        <f>IF(AD48=Lookups!$I$5+1,LARGE(V48:AC48,5),"")</f>
        <v/>
      </c>
      <c r="AI48" s="78" t="str">
        <f>IF(AD48=Lookups!$I$5+2,LARGE(V48:AC48,6),"")</f>
        <v/>
      </c>
      <c r="AJ48" s="78"/>
      <c r="AK48" s="78"/>
      <c r="AL48" s="140" t="str">
        <f t="shared" si="11"/>
        <v/>
      </c>
      <c r="AM48" s="134" t="str">
        <f>IF(OR(AD48=0,AD48=""),"",IF(COUNTIFS($AR$6:$AR$177,"&gt;"&amp;AR48)+COUNTIFS(AR$6:AR48,"="&amp;AR48)=0,"",COUNTIFS($AR$6:$AR$177,"&gt;"&amp;AR48)+COUNTIFS(AR$6:AR48,"="&amp;AR48)))</f>
        <v/>
      </c>
      <c r="AN48" s="134" t="str">
        <f>IFERROR(IF(OR(AD48=0,AD48=""),"",IF(COUNTIFS($AS$6:$AS$177,"&gt;"&amp;AS48)+COUNTIFS(AS$6:AS48,"="&amp;AS48)=0,"",COUNTIFS($AS$6:$AS$177,"&gt;"&amp;AS48)+COUNTIFS(AS$6:AS48,"="&amp;AS48)+$AM$5)),"")</f>
        <v/>
      </c>
      <c r="AO48" s="134" t="str">
        <f>IFERROR(IF(OR(AD48=0,AD48=""),"",IF(COUNTIFS($AT$6:$AT$177,"&gt;"&amp;AT48)+COUNTIFS(AT$6:AT48,"="&amp;AT48)=0,"",COUNTIFS($AT$6:$AT$177,"&gt;"&amp;AT48)+COUNTIFS(AT$6:AT48,"="&amp;AT48)+$AN$5)),"")</f>
        <v/>
      </c>
      <c r="AP48" s="134" t="str">
        <f>IFERROR(IF(OR(AD48=0,AD48=""),"",IF(COUNTIFS($AU$6:$AU$177,"&gt;"&amp;AU48)+COUNTIFS(AU$6:AU48,"="&amp;AU48)=0,"",COUNTIFS($AU$6:$AU$177,"&gt;"&amp;AU48)+COUNTIFS(AU$6:AU48,"="&amp;AU48)+$AO$5)),"")</f>
        <v/>
      </c>
      <c r="AQ48" s="134" t="str">
        <f>IFERROR(IF(OR(AD48=0,AD48=""),"",IF(COUNTIFS($AV$6:$AV$177,"&gt;"&amp;AV48)+COUNTIFS(AV$6:AV48,"="&amp;AV48)=0,"",COUNTIFS($AV$6:$AV$177,"&gt;"&amp;AV48)+COUNTIFS(AV$6:AV48,"="&amp;AV48)+$AP$5)),"")</f>
        <v/>
      </c>
      <c r="AR48" s="78" t="str">
        <f t="shared" si="12"/>
        <v/>
      </c>
      <c r="AS48" s="78" t="str">
        <f t="shared" si="13"/>
        <v/>
      </c>
      <c r="AT48" s="78" t="str">
        <f t="shared" si="14"/>
        <v/>
      </c>
      <c r="AU48" s="78" t="str">
        <f t="shared" si="15"/>
        <v/>
      </c>
      <c r="AV48" s="78" t="str">
        <f t="shared" si="16"/>
        <v/>
      </c>
    </row>
    <row r="49" spans="1:48" ht="16.5" customHeight="1" x14ac:dyDescent="0.3">
      <c r="A49" t="str">
        <f>IF(AD49="","",COUNTIFS($H$6:$H$120,H49,$AF$6:$AF$120,"&gt;"&amp;AF49)+COUNTIFS(H49:$H$120,H49,AF49:$AF$120,AF49))</f>
        <v/>
      </c>
      <c r="C49" t="str">
        <f t="shared" si="10"/>
        <v/>
      </c>
      <c r="D49" t="str">
        <f>IF(AG49=0,"",IF(COUNTIFS($AG$6:$AG$177,"&gt;"&amp;AG49)+COUNTIFS(AG$6:AG49,"="&amp;AG49)=0,"",COUNTIFS($AG$6:$AG$177,"&gt;"&amp;AG49)+COUNTIFS(AG$6:AG49,"="&amp;AG49)))</f>
        <v/>
      </c>
      <c r="F49" s="17" t="s">
        <v>90</v>
      </c>
      <c r="G49" s="107">
        <f>IFERROR(IF(VLOOKUP(F49,Lookups!$A$2:$F$111,2,FALSE)="","",VLOOKUP(F49,Lookups!$A$2:$F$111,2,FALSE)),"")</f>
        <v>1614</v>
      </c>
      <c r="H49" s="107" t="str">
        <f>IFERROR(IF(VLOOKUP(F49,Lookups!$A$2:$F$111,3,FALSE)="","",VLOOKUP(F49,Lookups!$A$2:$F$111,3,FALSE)),"")</f>
        <v>B</v>
      </c>
      <c r="I49" s="107" t="str">
        <f>IFERROR(IF(AF49=0,"",VLOOKUP(AF49,Lookups!$K$2:$L$6,2,TRUE)),"")</f>
        <v/>
      </c>
      <c r="J49" s="107" t="str">
        <f>IF(AD49&lt;Lookups!$I$5,"Y","N")</f>
        <v>N</v>
      </c>
      <c r="K49" s="107" t="str">
        <f>IFERROR(IF(VLOOKUP(F49,Lookups!$A$2:$F$111,4,FALSE)="","",VLOOKUP(F49,Lookups!$A$2:$F$111,4,FALSE)),"")</f>
        <v>PCP</v>
      </c>
      <c r="L49" s="107" t="str">
        <f>IFERROR(IF(VLOOKUP(F49,Lookups!$A$2:$F$111,5,FALSE)="","",VLOOKUP(F49,Lookups!$A$2:$F$111,5,FALSE)),"")</f>
        <v>Buccaneers</v>
      </c>
      <c r="M49" s="108" t="str">
        <f>IFERROR(IF(VLOOKUP(F49,Lookups!$A$2:$F$111,6,FALSE)="","",VLOOKUP(F49,Lookups!$A$2:$F$111,6,FALSE)),"")</f>
        <v/>
      </c>
      <c r="N49" s="57" t="str">
        <f>IFERROR(IF(VLOOKUP(F49,Scores!$A$1:$I$99,2,FALSE)="","",VLOOKUP(F49,Scores!$A$1:$I$99,2,FALSE)),"")</f>
        <v/>
      </c>
      <c r="O49" s="58" t="str">
        <f>IFERROR(IF(VLOOKUP(F49,Scores!$A$1:$I$99,3,FALSE)="","",VLOOKUP(F49,Scores!$A$1:$I$99,3,FALSE)),"")</f>
        <v/>
      </c>
      <c r="P49" s="58" t="str">
        <f>IFERROR(IF(VLOOKUP(F49,Scores!$A$1:$I$99,4,FALSE)="","",VLOOKUP(F49,Scores!$A$1:$I$99,4,FALSE)),"")</f>
        <v/>
      </c>
      <c r="Q49" s="58" t="str">
        <f>IFERROR(IF(VLOOKUP(F49,Scores!$A$1:$I$99,5,FALSE)="","",VLOOKUP(F49,Scores!$A$1:$I$99,5,FALSE)),"")</f>
        <v/>
      </c>
      <c r="R49" s="58" t="str">
        <f>IFERROR(IF(VLOOKUP(F49,Scores!$A$1:$I$99,6,FALSE)="","",VLOOKUP(F49,Scores!$A$1:$I$99,6,FALSE)),"")</f>
        <v/>
      </c>
      <c r="S49" s="58" t="str">
        <f>IFERROR(IF(VLOOKUP(F49,Scores!$A$1:$I$99,7,FALSE)="","",VLOOKUP(F49,Scores!$A$1:$I$99,7,FALSE)),"")</f>
        <v/>
      </c>
      <c r="T49" s="58" t="str">
        <f>IFERROR(IF(VLOOKUP(F49,Scores!$A$1:$I$99,8,FALSE)="","",VLOOKUP(F49,Scores!$A$1:$I$99,8,FALSE)),"")</f>
        <v/>
      </c>
      <c r="U49" s="60" t="str">
        <f>IFERROR(IF(VLOOKUP(F49,Scores!$A$1:$I$99,9,FALSE)="","",VLOOKUP(F49,Scores!$A$1:$I$99,9,FALSE)),"")</f>
        <v/>
      </c>
      <c r="V49" s="54" t="str">
        <f t="shared" si="28"/>
        <v/>
      </c>
      <c r="W49" s="55" t="str">
        <f t="shared" si="29"/>
        <v/>
      </c>
      <c r="X49" s="55" t="str">
        <f t="shared" si="30"/>
        <v/>
      </c>
      <c r="Y49" s="55" t="str">
        <f t="shared" si="31"/>
        <v/>
      </c>
      <c r="Z49" s="55" t="str">
        <f t="shared" si="32"/>
        <v/>
      </c>
      <c r="AA49" s="55" t="str">
        <f t="shared" si="33"/>
        <v/>
      </c>
      <c r="AB49" s="55" t="str">
        <f t="shared" si="34"/>
        <v/>
      </c>
      <c r="AC49" s="56" t="str">
        <f t="shared" si="35"/>
        <v/>
      </c>
      <c r="AD49" s="79" t="str">
        <f t="shared" si="25"/>
        <v/>
      </c>
      <c r="AE49" s="59" t="str">
        <f t="shared" si="26"/>
        <v/>
      </c>
      <c r="AF49" s="55" t="str" cm="1">
        <f t="array" ref="AF49">IFERROR(IF(AD49&gt;Lookups!$I$5-1,AVERAGE(LARGE(V49:AC49,_xlfn.SEQUENCE(Lookups!$I$5))),AVERAGE(LARGE(V49:AC49,_xlfn.SEQUENCE(AD49)))),"")</f>
        <v/>
      </c>
      <c r="AG49" s="124" t="str">
        <f t="shared" si="27"/>
        <v/>
      </c>
      <c r="AH49" s="78" t="str">
        <f>IF(AD49=Lookups!$I$5+1,LARGE(V49:AC49,5),"")</f>
        <v/>
      </c>
      <c r="AI49" s="78" t="str">
        <f>IF(AD49=Lookups!$I$5+2,LARGE(V49:AC49,6),"")</f>
        <v/>
      </c>
      <c r="AJ49" s="78"/>
      <c r="AK49" s="78"/>
      <c r="AL49" s="140" t="str">
        <f t="shared" si="11"/>
        <v/>
      </c>
      <c r="AM49" s="134" t="str">
        <f>IF(OR(AD49=0,AD49=""),"",IF(COUNTIFS($AR$6:$AR$177,"&gt;"&amp;AR49)+COUNTIFS(AR$6:AR49,"="&amp;AR49)=0,"",COUNTIFS($AR$6:$AR$177,"&gt;"&amp;AR49)+COUNTIFS(AR$6:AR49,"="&amp;AR49)))</f>
        <v/>
      </c>
      <c r="AN49" s="134" t="str">
        <f>IFERROR(IF(OR(AD49=0,AD49=""),"",IF(COUNTIFS($AS$6:$AS$177,"&gt;"&amp;AS49)+COUNTIFS(AS$6:AS49,"="&amp;AS49)=0,"",COUNTIFS($AS$6:$AS$177,"&gt;"&amp;AS49)+COUNTIFS(AS$6:AS49,"="&amp;AS49)+$AM$5)),"")</f>
        <v/>
      </c>
      <c r="AO49" s="134" t="str">
        <f>IFERROR(IF(OR(AD49=0,AD49=""),"",IF(COUNTIFS($AT$6:$AT$177,"&gt;"&amp;AT49)+COUNTIFS(AT$6:AT49,"="&amp;AT49)=0,"",COUNTIFS($AT$6:$AT$177,"&gt;"&amp;AT49)+COUNTIFS(AT$6:AT49,"="&amp;AT49)+$AN$5)),"")</f>
        <v/>
      </c>
      <c r="AP49" s="134" t="str">
        <f>IFERROR(IF(OR(AD49=0,AD49=""),"",IF(COUNTIFS($AU$6:$AU$177,"&gt;"&amp;AU49)+COUNTIFS(AU$6:AU49,"="&amp;AU49)=0,"",COUNTIFS($AU$6:$AU$177,"&gt;"&amp;AU49)+COUNTIFS(AU$6:AU49,"="&amp;AU49)+$AO$5)),"")</f>
        <v/>
      </c>
      <c r="AQ49" s="134" t="str">
        <f>IFERROR(IF(OR(AD49=0,AD49=""),"",IF(COUNTIFS($AV$6:$AV$177,"&gt;"&amp;AV49)+COUNTIFS(AV$6:AV49,"="&amp;AV49)=0,"",COUNTIFS($AV$6:$AV$177,"&gt;"&amp;AV49)+COUNTIFS(AV$6:AV49,"="&amp;AV49)+$AP$5)),"")</f>
        <v/>
      </c>
      <c r="AR49" s="78" t="str">
        <f t="shared" si="12"/>
        <v/>
      </c>
      <c r="AS49" s="78" t="str">
        <f t="shared" si="13"/>
        <v/>
      </c>
      <c r="AT49" s="78" t="str">
        <f t="shared" si="14"/>
        <v/>
      </c>
      <c r="AU49" s="78" t="str">
        <f t="shared" si="15"/>
        <v/>
      </c>
      <c r="AV49" s="78" t="str">
        <f t="shared" si="16"/>
        <v/>
      </c>
    </row>
    <row r="50" spans="1:48" ht="16.5" customHeight="1" x14ac:dyDescent="0.3">
      <c r="A50">
        <f>IF(AD50="","",COUNTIFS($H$6:$H$120,H50,$AF$6:$AF$120,"&gt;"&amp;AF50)+COUNTIFS(H50:$H$120,H50,AF50:$AF$120,AF50))</f>
        <v>8</v>
      </c>
      <c r="C50">
        <f t="shared" si="10"/>
        <v>22</v>
      </c>
      <c r="D50">
        <f>IF(AG50=0,"",IF(COUNTIFS($AG$6:$AG$177,"&gt;"&amp;AG50)+COUNTIFS(AG$6:AG50,"="&amp;AG50)=0,"",COUNTIFS($AG$6:$AG$177,"&gt;"&amp;AG50)+COUNTIFS(AG$6:AG50,"="&amp;AG50)))</f>
        <v>29</v>
      </c>
      <c r="F50" s="19" t="s">
        <v>55</v>
      </c>
      <c r="G50" s="107">
        <f>IFERROR(IF(VLOOKUP(F50,Lookups!$A$2:$F$111,2,FALSE)="","",VLOOKUP(F50,Lookups!$A$2:$F$111,2,FALSE)),"")</f>
        <v>1877</v>
      </c>
      <c r="H50" s="107" t="str">
        <f>IFERROR(IF(VLOOKUP(F50,Lookups!$A$2:$F$111,3,FALSE)="","",VLOOKUP(F50,Lookups!$A$2:$F$111,3,FALSE)),"")</f>
        <v>B</v>
      </c>
      <c r="I50" s="107" t="str">
        <f>IFERROR(IF(AF50=0,"",VLOOKUP(AF50,Lookups!$K$2:$L$6,2,TRUE)),"")</f>
        <v>B</v>
      </c>
      <c r="J50" s="107" t="str">
        <f>IF(AD50&lt;Lookups!$I$5,"Y","N")</f>
        <v>N</v>
      </c>
      <c r="K50" s="107" t="str">
        <f>IFERROR(IF(VLOOKUP(F50,Lookups!$A$2:$F$111,4,FALSE)="","",VLOOKUP(F50,Lookups!$A$2:$F$111,4,FALSE)),"")</f>
        <v>PCP</v>
      </c>
      <c r="L50" s="107" t="str">
        <f>IFERROR(IF(VLOOKUP(F50,Lookups!$A$2:$F$111,5,FALSE)="","",VLOOKUP(F50,Lookups!$A$2:$F$111,5,FALSE)),"")</f>
        <v>Newbury</v>
      </c>
      <c r="M50" s="108" t="str">
        <f>IFERROR(IF(VLOOKUP(F50,Lookups!$A$2:$F$111,6,FALSE)="","",VLOOKUP(F50,Lookups!$A$2:$F$111,6,FALSE)),"")</f>
        <v>Newbury</v>
      </c>
      <c r="N50" s="57" t="str">
        <f>IFERROR(IF(VLOOKUP(F50,Scores!$A$1:$I$99,2,FALSE)="","",VLOOKUP(F50,Scores!$A$1:$I$99,2,FALSE)),"")</f>
        <v/>
      </c>
      <c r="O50" s="58">
        <f>IFERROR(IF(VLOOKUP(F50,Scores!$A$1:$I$99,3,FALSE)="","",VLOOKUP(F50,Scores!$A$1:$I$99,3,FALSE)),"")</f>
        <v>22</v>
      </c>
      <c r="P50" s="58">
        <f>IFERROR(IF(VLOOKUP(F50,Scores!$A$1:$I$99,4,FALSE)="","",VLOOKUP(F50,Scores!$A$1:$I$99,4,FALSE)),"")</f>
        <v>25</v>
      </c>
      <c r="Q50" s="58">
        <f>IFERROR(IF(VLOOKUP(F50,Scores!$A$1:$I$99,5,FALSE)="","",VLOOKUP(F50,Scores!$A$1:$I$99,5,FALSE)),"")</f>
        <v>27</v>
      </c>
      <c r="R50" s="58">
        <f>IFERROR(IF(VLOOKUP(F50,Scores!$A$1:$I$99,6,FALSE)="","",VLOOKUP(F50,Scores!$A$1:$I$99,6,FALSE)),"")</f>
        <v>28</v>
      </c>
      <c r="S50" s="58" t="str">
        <f>IFERROR(IF(VLOOKUP(F50,Scores!$A$1:$I$99,7,FALSE)="","",VLOOKUP(F50,Scores!$A$1:$I$99,7,FALSE)),"")</f>
        <v/>
      </c>
      <c r="T50" s="58" t="str">
        <f>IFERROR(IF(VLOOKUP(F50,Scores!$A$1:$I$99,8,FALSE)="","",VLOOKUP(F50,Scores!$A$1:$I$99,8,FALSE)),"")</f>
        <v/>
      </c>
      <c r="U50" s="60" t="str">
        <f>IFERROR(IF(VLOOKUP(F50,Scores!$A$1:$I$99,9,FALSE)="","",VLOOKUP(F50,Scores!$A$1:$I$99,9,FALSE)),"")</f>
        <v/>
      </c>
      <c r="V50" s="54" t="str">
        <f t="shared" si="28"/>
        <v/>
      </c>
      <c r="W50" s="55">
        <f t="shared" si="29"/>
        <v>0.70967741935483875</v>
      </c>
      <c r="X50" s="55">
        <f t="shared" si="30"/>
        <v>0.67567567567567566</v>
      </c>
      <c r="Y50" s="55">
        <f t="shared" si="31"/>
        <v>0.75</v>
      </c>
      <c r="Z50" s="55">
        <f t="shared" si="32"/>
        <v>0.73684210526315785</v>
      </c>
      <c r="AA50" s="55" t="str">
        <f t="shared" si="33"/>
        <v/>
      </c>
      <c r="AB50" s="55" t="str">
        <f t="shared" si="34"/>
        <v/>
      </c>
      <c r="AC50" s="56" t="str">
        <f t="shared" si="35"/>
        <v/>
      </c>
      <c r="AD50" s="79">
        <f t="shared" si="25"/>
        <v>4</v>
      </c>
      <c r="AE50" s="59">
        <f t="shared" si="26"/>
        <v>0.71804880007341809</v>
      </c>
      <c r="AF50" s="55" cm="1">
        <f t="array" ref="AF50">IFERROR(IF(AD50&gt;Lookups!$I$5-1,AVERAGE(LARGE(V50:AC50,_xlfn.SEQUENCE(Lookups!$I$5))),AVERAGE(LARGE(V50:AC50,_xlfn.SEQUENCE(AD50)))),"")</f>
        <v>0.71804880007341798</v>
      </c>
      <c r="AG50" s="124">
        <f t="shared" si="27"/>
        <v>102</v>
      </c>
      <c r="AH50" s="78" t="str">
        <f>IF(AD50=Lookups!$I$5+1,LARGE(V50:AC50,5),"")</f>
        <v/>
      </c>
      <c r="AI50" s="78" t="str">
        <f>IF(AD50=Lookups!$I$5+2,LARGE(V50:AC50,6),"")</f>
        <v/>
      </c>
      <c r="AJ50" s="78"/>
      <c r="AK50" s="78"/>
      <c r="AL50" s="140">
        <f t="shared" si="11"/>
        <v>22</v>
      </c>
      <c r="AM50" s="134">
        <f>IF(OR(AD50=0,AD50=""),"",IF(COUNTIFS($AR$6:$AR$177,"&gt;"&amp;AR50)+COUNTIFS(AR$6:AR50,"="&amp;AR50)=0,"",COUNTIFS($AR$6:$AR$177,"&gt;"&amp;AR50)+COUNTIFS(AR$6:AR50,"="&amp;AR50)))</f>
        <v>22</v>
      </c>
      <c r="AN50" s="134" t="str">
        <f>IFERROR(IF(OR(AD50=0,AD50=""),"",IF(COUNTIFS($AS$6:$AS$177,"&gt;"&amp;AS50)+COUNTIFS(AS$6:AS50,"="&amp;AS50)=0,"",COUNTIFS($AS$6:$AS$177,"&gt;"&amp;AS50)+COUNTIFS(AS$6:AS50,"="&amp;AS50)+$AM$5)),"")</f>
        <v/>
      </c>
      <c r="AO50" s="134" t="str">
        <f>IFERROR(IF(OR(AD50=0,AD50=""),"",IF(COUNTIFS($AT$6:$AT$177,"&gt;"&amp;AT50)+COUNTIFS(AT$6:AT50,"="&amp;AT50)=0,"",COUNTIFS($AT$6:$AT$177,"&gt;"&amp;AT50)+COUNTIFS(AT$6:AT50,"="&amp;AT50)+$AN$5)),"")</f>
        <v/>
      </c>
      <c r="AP50" s="134" t="str">
        <f>IFERROR(IF(OR(AD50=0,AD50=""),"",IF(COUNTIFS($AU$6:$AU$177,"&gt;"&amp;AU50)+COUNTIFS(AU$6:AU50,"="&amp;AU50)=0,"",COUNTIFS($AU$6:$AU$177,"&gt;"&amp;AU50)+COUNTIFS(AU$6:AU50,"="&amp;AU50)+$AO$5)),"")</f>
        <v/>
      </c>
      <c r="AQ50" s="134" t="str">
        <f>IFERROR(IF(OR(AD50=0,AD50=""),"",IF(COUNTIFS($AV$6:$AV$177,"&gt;"&amp;AV50)+COUNTIFS(AV$6:AV50,"="&amp;AV50)=0,"",COUNTIFS($AV$6:$AV$177,"&gt;"&amp;AV50)+COUNTIFS(AV$6:AV50,"="&amp;AV50)+$AP$5)),"")</f>
        <v/>
      </c>
      <c r="AR50" s="78">
        <f t="shared" si="12"/>
        <v>0.71804880007341798</v>
      </c>
      <c r="AS50" s="78" t="str">
        <f t="shared" si="13"/>
        <v/>
      </c>
      <c r="AT50" s="78" t="str">
        <f t="shared" si="14"/>
        <v/>
      </c>
      <c r="AU50" s="78" t="str">
        <f t="shared" si="15"/>
        <v/>
      </c>
      <c r="AV50" s="78" t="str">
        <f t="shared" si="16"/>
        <v/>
      </c>
    </row>
    <row r="51" spans="1:48" ht="16.5" customHeight="1" x14ac:dyDescent="0.3">
      <c r="A51">
        <f>IF(AD51="","",COUNTIFS($H$6:$H$120,H51,$AF$6:$AF$120,"&gt;"&amp;AF51)+COUNTIFS(H51:$H$120,H51,AF51:$AF$120,AF51))</f>
        <v>1</v>
      </c>
      <c r="C51">
        <f t="shared" si="10"/>
        <v>10</v>
      </c>
      <c r="D51">
        <f>IF(AG51=0,"",IF(COUNTIFS($AG$6:$AG$177,"&gt;"&amp;AG51)+COUNTIFS(AG$6:AG51,"="&amp;AG51)=0,"",COUNTIFS($AG$6:$AG$177,"&gt;"&amp;AG51)+COUNTIFS(AG$6:AG51,"="&amp;AG51)))</f>
        <v>8</v>
      </c>
      <c r="F51" s="19" t="s">
        <v>58</v>
      </c>
      <c r="G51" s="107">
        <f>IFERROR(IF(VLOOKUP(F51,Lookups!$A$2:$F$111,2,FALSE)="","",VLOOKUP(F51,Lookups!$A$2:$F$111,2,FALSE)),"")</f>
        <v>1888</v>
      </c>
      <c r="H51" s="107" t="str">
        <f>IFERROR(IF(VLOOKUP(F51,Lookups!$A$2:$F$111,3,FALSE)="","",VLOOKUP(F51,Lookups!$A$2:$F$111,3,FALSE)),"")</f>
        <v>B</v>
      </c>
      <c r="I51" s="107" t="str">
        <f>IFERROR(IF(AF51=0,"",VLOOKUP(AF51,Lookups!$K$2:$L$6,2,TRUE)),"")</f>
        <v>A</v>
      </c>
      <c r="J51" s="107" t="str">
        <f>IF(AD51&lt;Lookups!$I$5,"Y","N")</f>
        <v>N</v>
      </c>
      <c r="K51" s="107" t="str">
        <f>IFERROR(IF(VLOOKUP(F51,Lookups!$A$2:$F$111,4,FALSE)="","",VLOOKUP(F51,Lookups!$A$2:$F$111,4,FALSE)),"")</f>
        <v>PCP</v>
      </c>
      <c r="L51" s="107" t="str">
        <f>IFERROR(IF(VLOOKUP(F51,Lookups!$A$2:$F$111,5,FALSE)="","",VLOOKUP(F51,Lookups!$A$2:$F$111,5,FALSE)),"")</f>
        <v>Frobury</v>
      </c>
      <c r="M51" s="108" t="str">
        <f>IFERROR(IF(VLOOKUP(F51,Lookups!$A$2:$F$111,6,FALSE)="","",VLOOKUP(F51,Lookups!$A$2:$F$111,6,FALSE)),"")</f>
        <v>Frobury</v>
      </c>
      <c r="N51" s="57">
        <f>IFERROR(IF(VLOOKUP(F51,Scores!$A$1:$I$99,2,FALSE)="","",VLOOKUP(F51,Scores!$A$1:$I$99,2,FALSE)),"")</f>
        <v>29</v>
      </c>
      <c r="O51" s="58">
        <f>IFERROR(IF(VLOOKUP(F51,Scores!$A$1:$I$99,3,FALSE)="","",VLOOKUP(F51,Scores!$A$1:$I$99,3,FALSE)),"")</f>
        <v>17</v>
      </c>
      <c r="P51" s="58">
        <f>IFERROR(IF(VLOOKUP(F51,Scores!$A$1:$I$99,4,FALSE)="","",VLOOKUP(F51,Scores!$A$1:$I$99,4,FALSE)),"")</f>
        <v>28</v>
      </c>
      <c r="Q51" s="58">
        <f>IFERROR(IF(VLOOKUP(F51,Scores!$A$1:$I$99,5,FALSE)="","",VLOOKUP(F51,Scores!$A$1:$I$99,5,FALSE)),"")</f>
        <v>31</v>
      </c>
      <c r="R51" s="58">
        <f>IFERROR(IF(VLOOKUP(F51,Scores!$A$1:$I$99,6,FALSE)="","",VLOOKUP(F51,Scores!$A$1:$I$99,6,FALSE)),"")</f>
        <v>31</v>
      </c>
      <c r="S51" s="58">
        <f>IFERROR(IF(VLOOKUP(F51,Scores!$A$1:$I$99,7,FALSE)="","",VLOOKUP(F51,Scores!$A$1:$I$99,7,FALSE)),"")</f>
        <v>35</v>
      </c>
      <c r="T51" s="58" t="str">
        <f>IFERROR(IF(VLOOKUP(F51,Scores!$A$1:$I$99,8,FALSE)="","",VLOOKUP(F51,Scores!$A$1:$I$99,8,FALSE)),"")</f>
        <v/>
      </c>
      <c r="U51" s="60" t="str">
        <f>IFERROR(IF(VLOOKUP(F51,Scores!$A$1:$I$99,9,FALSE)="","",VLOOKUP(F51,Scores!$A$1:$I$99,9,FALSE)),"")</f>
        <v/>
      </c>
      <c r="V51" s="54">
        <f t="shared" si="28"/>
        <v>0.78378378378378377</v>
      </c>
      <c r="W51" s="55">
        <f t="shared" si="29"/>
        <v>0.54838709677419351</v>
      </c>
      <c r="X51" s="55">
        <f t="shared" si="30"/>
        <v>0.7567567567567568</v>
      </c>
      <c r="Y51" s="55">
        <f t="shared" si="31"/>
        <v>0.86111111111111116</v>
      </c>
      <c r="Z51" s="55">
        <f t="shared" si="32"/>
        <v>0.81578947368421051</v>
      </c>
      <c r="AA51" s="55">
        <f t="shared" si="33"/>
        <v>0.94594594594594594</v>
      </c>
      <c r="AB51" s="55" t="str">
        <f t="shared" si="34"/>
        <v/>
      </c>
      <c r="AC51" s="56" t="str">
        <f t="shared" si="35"/>
        <v/>
      </c>
      <c r="AD51" s="79">
        <f t="shared" si="25"/>
        <v>6</v>
      </c>
      <c r="AE51" s="59">
        <f t="shared" si="26"/>
        <v>0.78529569467600036</v>
      </c>
      <c r="AF51" s="55" cm="1">
        <f t="array" ref="AF51">IFERROR(IF(AD51&gt;Lookups!$I$5-1,AVERAGE(LARGE(V51:AC51,_xlfn.SEQUENCE(Lookups!$I$5))),AVERAGE(LARGE(V51:AC51,_xlfn.SEQUENCE(AD51)))),"")</f>
        <v>0.8516575786312629</v>
      </c>
      <c r="AG51" s="124">
        <f t="shared" si="27"/>
        <v>171</v>
      </c>
      <c r="AH51" s="78" t="str">
        <f>IF(AD51=Lookups!$I$5+1,LARGE(V51:AC51,5),"")</f>
        <v/>
      </c>
      <c r="AI51" s="78">
        <f>IF(AD51=Lookups!$I$5+2,LARGE(V51:AC51,6),"")</f>
        <v>0.54838709677419351</v>
      </c>
      <c r="AJ51" s="78"/>
      <c r="AK51" s="78"/>
      <c r="AL51" s="140">
        <f t="shared" si="11"/>
        <v>10</v>
      </c>
      <c r="AM51" s="134">
        <f>IF(OR(AD51=0,AD51=""),"",IF(COUNTIFS($AR$6:$AR$177,"&gt;"&amp;AR51)+COUNTIFS(AR$6:AR51,"="&amp;AR51)=0,"",COUNTIFS($AR$6:$AR$177,"&gt;"&amp;AR51)+COUNTIFS(AR$6:AR51,"="&amp;AR51)))</f>
        <v>10</v>
      </c>
      <c r="AN51" s="134" t="str">
        <f>IFERROR(IF(OR(AD51=0,AD51=""),"",IF(COUNTIFS($AS$6:$AS$177,"&gt;"&amp;AS51)+COUNTIFS(AS$6:AS51,"="&amp;AS51)=0,"",COUNTIFS($AS$6:$AS$177,"&gt;"&amp;AS51)+COUNTIFS(AS$6:AS51,"="&amp;AS51)+$AM$5)),"")</f>
        <v/>
      </c>
      <c r="AO51" s="134" t="str">
        <f>IFERROR(IF(OR(AD51=0,AD51=""),"",IF(COUNTIFS($AT$6:$AT$177,"&gt;"&amp;AT51)+COUNTIFS(AT$6:AT51,"="&amp;AT51)=0,"",COUNTIFS($AT$6:$AT$177,"&gt;"&amp;AT51)+COUNTIFS(AT$6:AT51,"="&amp;AT51)+$AN$5)),"")</f>
        <v/>
      </c>
      <c r="AP51" s="134" t="str">
        <f>IFERROR(IF(OR(AD51=0,AD51=""),"",IF(COUNTIFS($AU$6:$AU$177,"&gt;"&amp;AU51)+COUNTIFS(AU$6:AU51,"="&amp;AU51)=0,"",COUNTIFS($AU$6:$AU$177,"&gt;"&amp;AU51)+COUNTIFS(AU$6:AU51,"="&amp;AU51)+$AO$5)),"")</f>
        <v/>
      </c>
      <c r="AQ51" s="134" t="str">
        <f>IFERROR(IF(OR(AD51=0,AD51=""),"",IF(COUNTIFS($AV$6:$AV$177,"&gt;"&amp;AV51)+COUNTIFS(AV$6:AV51,"="&amp;AV51)=0,"",COUNTIFS($AV$6:$AV$177,"&gt;"&amp;AV51)+COUNTIFS(AV$6:AV51,"="&amp;AV51)+$AP$5)),"")</f>
        <v/>
      </c>
      <c r="AR51" s="78">
        <f t="shared" si="12"/>
        <v>0.8516575786312629</v>
      </c>
      <c r="AS51" s="78" t="str">
        <f t="shared" si="13"/>
        <v/>
      </c>
      <c r="AT51" s="78" t="str">
        <f t="shared" si="14"/>
        <v/>
      </c>
      <c r="AU51" s="78" t="str">
        <f t="shared" si="15"/>
        <v/>
      </c>
      <c r="AV51" s="78" t="str">
        <f t="shared" si="16"/>
        <v/>
      </c>
    </row>
    <row r="52" spans="1:48" ht="16.5" customHeight="1" x14ac:dyDescent="0.3">
      <c r="A52" t="str">
        <f>IF(AD52="","",COUNTIFS($H$6:$H$120,H52,$AF$6:$AF$120,"&gt;"&amp;AF52)+COUNTIFS(H52:$H$120,H52,AF52:$AF$120,AF52))</f>
        <v/>
      </c>
      <c r="C52" t="str">
        <f t="shared" si="10"/>
        <v/>
      </c>
      <c r="D52" t="str">
        <f>IF(AG52=0,"",IF(COUNTIFS($AG$6:$AG$177,"&gt;"&amp;AG52)+COUNTIFS(AG$6:AG52,"="&amp;AG52)=0,"",COUNTIFS($AG$6:$AG$177,"&gt;"&amp;AG52)+COUNTIFS(AG$6:AG52,"="&amp;AG52)))</f>
        <v/>
      </c>
      <c r="F52" s="22" t="s">
        <v>89</v>
      </c>
      <c r="G52" s="107">
        <f>IFERROR(IF(VLOOKUP(F52,Lookups!$A$2:$F$111,2,FALSE)="","",VLOOKUP(F52,Lookups!$A$2:$F$111,2,FALSE)),"")</f>
        <v>1900</v>
      </c>
      <c r="H52" s="107" t="str">
        <f>IFERROR(IF(VLOOKUP(F52,Lookups!$A$2:$F$111,3,FALSE)="","",VLOOKUP(F52,Lookups!$A$2:$F$111,3,FALSE)),"")</f>
        <v>B</v>
      </c>
      <c r="I52" s="107" t="str">
        <f>IFERROR(IF(AF52=0,"",VLOOKUP(AF52,Lookups!$K$2:$L$6,2,TRUE)),"")</f>
        <v/>
      </c>
      <c r="J52" s="107" t="str">
        <f>IF(AD52&lt;Lookups!$I$5,"Y","N")</f>
        <v>N</v>
      </c>
      <c r="K52" s="107" t="str">
        <f>IFERROR(IF(VLOOKUP(F52,Lookups!$A$2:$F$111,4,FALSE)="","",VLOOKUP(F52,Lookups!$A$2:$F$111,4,FALSE)),"")</f>
        <v>PCP</v>
      </c>
      <c r="L52" s="107" t="str">
        <f>IFERROR(IF(VLOOKUP(F52,Lookups!$A$2:$F$111,5,FALSE)="","",VLOOKUP(F52,Lookups!$A$2:$F$111,5,FALSE)),"")</f>
        <v>Newbury</v>
      </c>
      <c r="M52" s="108" t="str">
        <f>IFERROR(IF(VLOOKUP(F52,Lookups!$A$2:$F$111,6,FALSE)="","",VLOOKUP(F52,Lookups!$A$2:$F$111,6,FALSE)),"")</f>
        <v/>
      </c>
      <c r="N52" s="57" t="str">
        <f>IFERROR(IF(VLOOKUP(F52,Scores!$A$1:$I$99,2,FALSE)="","",VLOOKUP(F52,Scores!$A$1:$I$99,2,FALSE)),"")</f>
        <v/>
      </c>
      <c r="O52" s="58" t="str">
        <f>IFERROR(IF(VLOOKUP(F52,Scores!$A$1:$I$99,3,FALSE)="","",VLOOKUP(F52,Scores!$A$1:$I$99,3,FALSE)),"")</f>
        <v/>
      </c>
      <c r="P52" s="58" t="str">
        <f>IFERROR(IF(VLOOKUP(F52,Scores!$A$1:$I$99,4,FALSE)="","",VLOOKUP(F52,Scores!$A$1:$I$99,4,FALSE)),"")</f>
        <v/>
      </c>
      <c r="Q52" s="58" t="str">
        <f>IFERROR(IF(VLOOKUP(F52,Scores!$A$1:$I$99,5,FALSE)="","",VLOOKUP(F52,Scores!$A$1:$I$99,5,FALSE)),"")</f>
        <v/>
      </c>
      <c r="R52" s="58" t="str">
        <f>IFERROR(IF(VLOOKUP(F52,Scores!$A$1:$I$99,6,FALSE)="","",VLOOKUP(F52,Scores!$A$1:$I$99,6,FALSE)),"")</f>
        <v/>
      </c>
      <c r="S52" s="58" t="str">
        <f>IFERROR(IF(VLOOKUP(F52,Scores!$A$1:$I$99,7,FALSE)="","",VLOOKUP(F52,Scores!$A$1:$I$99,7,FALSE)),"")</f>
        <v/>
      </c>
      <c r="T52" s="58" t="str">
        <f>IFERROR(IF(VLOOKUP(F52,Scores!$A$1:$I$99,8,FALSE)="","",VLOOKUP(F52,Scores!$A$1:$I$99,8,FALSE)),"")</f>
        <v/>
      </c>
      <c r="U52" s="60" t="str">
        <f>IFERROR(IF(VLOOKUP(F52,Scores!$A$1:$I$99,9,FALSE)="","",VLOOKUP(F52,Scores!$A$1:$I$99,9,FALSE)),"")</f>
        <v/>
      </c>
      <c r="V52" s="54" t="str">
        <f t="shared" si="28"/>
        <v/>
      </c>
      <c r="W52" s="55" t="str">
        <f t="shared" si="29"/>
        <v/>
      </c>
      <c r="X52" s="55" t="str">
        <f t="shared" si="30"/>
        <v/>
      </c>
      <c r="Y52" s="55" t="str">
        <f t="shared" si="31"/>
        <v/>
      </c>
      <c r="Z52" s="55" t="str">
        <f t="shared" si="32"/>
        <v/>
      </c>
      <c r="AA52" s="55" t="str">
        <f t="shared" si="33"/>
        <v/>
      </c>
      <c r="AB52" s="55" t="str">
        <f t="shared" si="34"/>
        <v/>
      </c>
      <c r="AC52" s="56" t="str">
        <f t="shared" si="35"/>
        <v/>
      </c>
      <c r="AD52" s="79" t="str">
        <f t="shared" si="25"/>
        <v/>
      </c>
      <c r="AE52" s="59" t="str">
        <f t="shared" si="26"/>
        <v/>
      </c>
      <c r="AF52" s="55" t="str" cm="1">
        <f t="array" ref="AF52">IFERROR(IF(AD52&gt;Lookups!$I$5-1,AVERAGE(LARGE(V52:AC52,_xlfn.SEQUENCE(Lookups!$I$5))),AVERAGE(LARGE(V52:AC52,_xlfn.SEQUENCE(AD52)))),"")</f>
        <v/>
      </c>
      <c r="AG52" s="124" t="str">
        <f t="shared" si="27"/>
        <v/>
      </c>
      <c r="AH52" s="78" t="str">
        <f>IF(AD52=Lookups!$I$5+1,LARGE(V52:AC52,5),"")</f>
        <v/>
      </c>
      <c r="AI52" s="78" t="str">
        <f>IF(AD52=Lookups!$I$5+2,LARGE(V52:AC52,6),"")</f>
        <v/>
      </c>
      <c r="AJ52" s="78"/>
      <c r="AK52" s="78"/>
      <c r="AL52" s="140" t="str">
        <f t="shared" si="11"/>
        <v/>
      </c>
      <c r="AM52" s="134" t="str">
        <f>IF(OR(AD52=0,AD52=""),"",IF(COUNTIFS($AR$6:$AR$177,"&gt;"&amp;AR52)+COUNTIFS(AR$6:AR52,"="&amp;AR52)=0,"",COUNTIFS($AR$6:$AR$177,"&gt;"&amp;AR52)+COUNTIFS(AR$6:AR52,"="&amp;AR52)))</f>
        <v/>
      </c>
      <c r="AN52" s="134" t="str">
        <f>IFERROR(IF(OR(AD52=0,AD52=""),"",IF(COUNTIFS($AS$6:$AS$177,"&gt;"&amp;AS52)+COUNTIFS(AS$6:AS52,"="&amp;AS52)=0,"",COUNTIFS($AS$6:$AS$177,"&gt;"&amp;AS52)+COUNTIFS(AS$6:AS52,"="&amp;AS52)+$AM$5)),"")</f>
        <v/>
      </c>
      <c r="AO52" s="134" t="str">
        <f>IFERROR(IF(OR(AD52=0,AD52=""),"",IF(COUNTIFS($AT$6:$AT$177,"&gt;"&amp;AT52)+COUNTIFS(AT$6:AT52,"="&amp;AT52)=0,"",COUNTIFS($AT$6:$AT$177,"&gt;"&amp;AT52)+COUNTIFS(AT$6:AT52,"="&amp;AT52)+$AN$5)),"")</f>
        <v/>
      </c>
      <c r="AP52" s="134" t="str">
        <f>IFERROR(IF(OR(AD52=0,AD52=""),"",IF(COUNTIFS($AU$6:$AU$177,"&gt;"&amp;AU52)+COUNTIFS(AU$6:AU52,"="&amp;AU52)=0,"",COUNTIFS($AU$6:$AU$177,"&gt;"&amp;AU52)+COUNTIFS(AU$6:AU52,"="&amp;AU52)+$AO$5)),"")</f>
        <v/>
      </c>
      <c r="AQ52" s="134" t="str">
        <f>IFERROR(IF(OR(AD52=0,AD52=""),"",IF(COUNTIFS($AV$6:$AV$177,"&gt;"&amp;AV52)+COUNTIFS(AV$6:AV52,"="&amp;AV52)=0,"",COUNTIFS($AV$6:$AV$177,"&gt;"&amp;AV52)+COUNTIFS(AV$6:AV52,"="&amp;AV52)+$AP$5)),"")</f>
        <v/>
      </c>
      <c r="AR52" s="78" t="str">
        <f t="shared" si="12"/>
        <v/>
      </c>
      <c r="AS52" s="78" t="str">
        <f t="shared" si="13"/>
        <v/>
      </c>
      <c r="AT52" s="78" t="str">
        <f t="shared" si="14"/>
        <v/>
      </c>
      <c r="AU52" s="78" t="str">
        <f t="shared" si="15"/>
        <v/>
      </c>
      <c r="AV52" s="78" t="str">
        <f t="shared" si="16"/>
        <v/>
      </c>
    </row>
    <row r="53" spans="1:48" ht="16.5" customHeight="1" x14ac:dyDescent="0.3">
      <c r="A53">
        <f>IF(AD53="","",COUNTIFS($H$6:$H$120,H53,$AF$6:$AF$120,"&gt;"&amp;AF53)+COUNTIFS(H53:$H$120,H53,AF53:$AF$120,AF53))</f>
        <v>3</v>
      </c>
      <c r="C53">
        <f t="shared" si="10"/>
        <v>13</v>
      </c>
      <c r="D53">
        <f>IF(AG53=0,"",IF(COUNTIFS($AG$6:$AG$177,"&gt;"&amp;AG53)+COUNTIFS(AG$6:AG53,"="&amp;AG53)=0,"",COUNTIFS($AG$6:$AG$177,"&gt;"&amp;AG53)+COUNTIFS(AG$6:AG53,"="&amp;AG53)))</f>
        <v>11</v>
      </c>
      <c r="F53" s="21" t="s">
        <v>174</v>
      </c>
      <c r="G53" s="107">
        <f>IFERROR(IF(VLOOKUP(F53,Lookups!$A$2:$F$111,2,FALSE)="","",VLOOKUP(F53,Lookups!$A$2:$F$111,2,FALSE)),"")</f>
        <v>1914</v>
      </c>
      <c r="H53" s="107" t="str">
        <f>IFERROR(IF(VLOOKUP(F53,Lookups!$A$2:$F$111,3,FALSE)="","",VLOOKUP(F53,Lookups!$A$2:$F$111,3,FALSE)),"")</f>
        <v>B</v>
      </c>
      <c r="I53" s="107" t="str">
        <f>IFERROR(IF(AF53=0,"",VLOOKUP(AF53,Lookups!$K$2:$L$6,2,TRUE)),"")</f>
        <v>A</v>
      </c>
      <c r="J53" s="107" t="str">
        <f>IF(AD53&lt;Lookups!$I$5,"Y","N")</f>
        <v>N</v>
      </c>
      <c r="K53" s="107" t="str">
        <f>IFERROR(IF(VLOOKUP(F53,Lookups!$A$2:$F$111,4,FALSE)="","",VLOOKUP(F53,Lookups!$A$2:$F$111,4,FALSE)),"")</f>
        <v>PCP</v>
      </c>
      <c r="L53" s="107" t="str">
        <f>IFERROR(IF(VLOOKUP(F53,Lookups!$A$2:$F$111,5,FALSE)="","",VLOOKUP(F53,Lookups!$A$2:$F$111,5,FALSE)),"")</f>
        <v>Carisbrooke</v>
      </c>
      <c r="M53" s="108" t="str">
        <f>IFERROR(IF(VLOOKUP(F53,Lookups!$A$2:$F$111,6,FALSE)="","",VLOOKUP(F53,Lookups!$A$2:$F$111,6,FALSE)),"")</f>
        <v>Carisbrooke TRex's</v>
      </c>
      <c r="N53" s="57">
        <f>IFERROR(IF(VLOOKUP(F53,Scores!$A$1:$I$99,2,FALSE)="","",VLOOKUP(F53,Scores!$A$1:$I$99,2,FALSE)),"")</f>
        <v>28</v>
      </c>
      <c r="O53" s="58">
        <f>IFERROR(IF(VLOOKUP(F53,Scores!$A$1:$I$99,3,FALSE)="","",VLOOKUP(F53,Scores!$A$1:$I$99,3,FALSE)),"")</f>
        <v>18</v>
      </c>
      <c r="P53" s="58">
        <f>IFERROR(IF(VLOOKUP(F53,Scores!$A$1:$I$99,4,FALSE)="","",VLOOKUP(F53,Scores!$A$1:$I$99,4,FALSE)),"")</f>
        <v>27</v>
      </c>
      <c r="Q53" s="58">
        <f>IFERROR(IF(VLOOKUP(F53,Scores!$A$1:$I$99,5,FALSE)="","",VLOOKUP(F53,Scores!$A$1:$I$99,5,FALSE)),"")</f>
        <v>29</v>
      </c>
      <c r="R53" s="58">
        <f>IFERROR(IF(VLOOKUP(F53,Scores!$A$1:$I$99,6,FALSE)="","",VLOOKUP(F53,Scores!$A$1:$I$99,6,FALSE)),"")</f>
        <v>31</v>
      </c>
      <c r="S53" s="58">
        <f>IFERROR(IF(VLOOKUP(F53,Scores!$A$1:$I$99,7,FALSE)="","",VLOOKUP(F53,Scores!$A$1:$I$99,7,FALSE)),"")</f>
        <v>27</v>
      </c>
      <c r="T53" s="58" t="str">
        <f>IFERROR(IF(VLOOKUP(F53,Scores!$A$1:$I$99,8,FALSE)="","",VLOOKUP(F53,Scores!$A$1:$I$99,8,FALSE)),"")</f>
        <v/>
      </c>
      <c r="U53" s="60" t="str">
        <f>IFERROR(IF(VLOOKUP(F53,Scores!$A$1:$I$99,9,FALSE)="","",VLOOKUP(F53,Scores!$A$1:$I$99,9,FALSE)),"")</f>
        <v/>
      </c>
      <c r="V53" s="54">
        <f t="shared" si="28"/>
        <v>0.7567567567567568</v>
      </c>
      <c r="W53" s="55">
        <f t="shared" si="29"/>
        <v>0.58064516129032262</v>
      </c>
      <c r="X53" s="55">
        <f t="shared" si="30"/>
        <v>0.72972972972972971</v>
      </c>
      <c r="Y53" s="55">
        <f t="shared" si="31"/>
        <v>0.80555555555555558</v>
      </c>
      <c r="Z53" s="55">
        <f t="shared" si="32"/>
        <v>0.81578947368421051</v>
      </c>
      <c r="AA53" s="55">
        <f t="shared" si="33"/>
        <v>0.72972972972972971</v>
      </c>
      <c r="AB53" s="55" t="str">
        <f t="shared" si="34"/>
        <v/>
      </c>
      <c r="AC53" s="56" t="str">
        <f t="shared" si="35"/>
        <v/>
      </c>
      <c r="AD53" s="79">
        <f t="shared" si="25"/>
        <v>6</v>
      </c>
      <c r="AE53" s="59">
        <f t="shared" si="26"/>
        <v>0.73636773445771764</v>
      </c>
      <c r="AF53" s="55" cm="1">
        <f t="array" ref="AF53">IFERROR(IF(AD53&gt;Lookups!$I$5-1,AVERAGE(LARGE(V53:AC53,_xlfn.SEQUENCE(Lookups!$I$5))),AVERAGE(LARGE(V53:AC53,_xlfn.SEQUENCE(AD53)))),"")</f>
        <v>0.77695787893156321</v>
      </c>
      <c r="AG53" s="124">
        <f t="shared" si="27"/>
        <v>160</v>
      </c>
      <c r="AH53" s="78" t="str">
        <f>IF(AD53=Lookups!$I$5+1,LARGE(V53:AC53,5),"")</f>
        <v/>
      </c>
      <c r="AI53" s="78">
        <f>IF(AD53=Lookups!$I$5+2,LARGE(V53:AC53,6),"")</f>
        <v>0.58064516129032262</v>
      </c>
      <c r="AJ53" s="78"/>
      <c r="AK53" s="78"/>
      <c r="AL53" s="140">
        <f t="shared" si="11"/>
        <v>13</v>
      </c>
      <c r="AM53" s="134">
        <f>IF(OR(AD53=0,AD53=""),"",IF(COUNTIFS($AR$6:$AR$177,"&gt;"&amp;AR53)+COUNTIFS(AR$6:AR53,"="&amp;AR53)=0,"",COUNTIFS($AR$6:$AR$177,"&gt;"&amp;AR53)+COUNTIFS(AR$6:AR53,"="&amp;AR53)))</f>
        <v>13</v>
      </c>
      <c r="AN53" s="134" t="str">
        <f>IFERROR(IF(OR(AD53=0,AD53=""),"",IF(COUNTIFS($AS$6:$AS$177,"&gt;"&amp;AS53)+COUNTIFS(AS$6:AS53,"="&amp;AS53)=0,"",COUNTIFS($AS$6:$AS$177,"&gt;"&amp;AS53)+COUNTIFS(AS$6:AS53,"="&amp;AS53)+$AM$5)),"")</f>
        <v/>
      </c>
      <c r="AO53" s="134" t="str">
        <f>IFERROR(IF(OR(AD53=0,AD53=""),"",IF(COUNTIFS($AT$6:$AT$177,"&gt;"&amp;AT53)+COUNTIFS(AT$6:AT53,"="&amp;AT53)=0,"",COUNTIFS($AT$6:$AT$177,"&gt;"&amp;AT53)+COUNTIFS(AT$6:AT53,"="&amp;AT53)+$AN$5)),"")</f>
        <v/>
      </c>
      <c r="AP53" s="134" t="str">
        <f>IFERROR(IF(OR(AD53=0,AD53=""),"",IF(COUNTIFS($AU$6:$AU$177,"&gt;"&amp;AU53)+COUNTIFS(AU$6:AU53,"="&amp;AU53)=0,"",COUNTIFS($AU$6:$AU$177,"&gt;"&amp;AU53)+COUNTIFS(AU$6:AU53,"="&amp;AU53)+$AO$5)),"")</f>
        <v/>
      </c>
      <c r="AQ53" s="134" t="str">
        <f>IFERROR(IF(OR(AD53=0,AD53=""),"",IF(COUNTIFS($AV$6:$AV$177,"&gt;"&amp;AV53)+COUNTIFS(AV$6:AV53,"="&amp;AV53)=0,"",COUNTIFS($AV$6:$AV$177,"&gt;"&amp;AV53)+COUNTIFS(AV$6:AV53,"="&amp;AV53)+$AP$5)),"")</f>
        <v/>
      </c>
      <c r="AR53" s="78">
        <f t="shared" si="12"/>
        <v>0.77695787893156321</v>
      </c>
      <c r="AS53" s="78" t="str">
        <f t="shared" si="13"/>
        <v/>
      </c>
      <c r="AT53" s="78" t="str">
        <f t="shared" si="14"/>
        <v/>
      </c>
      <c r="AU53" s="78" t="str">
        <f t="shared" si="15"/>
        <v/>
      </c>
      <c r="AV53" s="78" t="str">
        <f t="shared" si="16"/>
        <v/>
      </c>
    </row>
    <row r="54" spans="1:48" ht="16.5" customHeight="1" x14ac:dyDescent="0.3">
      <c r="A54">
        <f>IF(AD54="","",COUNTIFS($H$6:$H$120,H54,$AF$6:$AF$120,"&gt;"&amp;AF54)+COUNTIFS(H54:$H$120,H54,AF54:$AF$120,AF54))</f>
        <v>11</v>
      </c>
      <c r="C54">
        <f t="shared" si="10"/>
        <v>32</v>
      </c>
      <c r="D54">
        <f>IF(AG54=0,"",IF(COUNTIFS($AG$6:$AG$177,"&gt;"&amp;AG54)+COUNTIFS(AG$6:AG54,"="&amp;AG54)=0,"",COUNTIFS($AG$6:$AG$177,"&gt;"&amp;AG54)+COUNTIFS(AG$6:AG54,"="&amp;AG54)))</f>
        <v>33</v>
      </c>
      <c r="F54" s="21" t="s">
        <v>51</v>
      </c>
      <c r="G54" s="107" t="str">
        <f>IFERROR(IF(VLOOKUP(F54,Lookups!$A$2:$F$111,2,FALSE)="","",VLOOKUP(F54,Lookups!$A$2:$F$111,2,FALSE)),"")</f>
        <v/>
      </c>
      <c r="H54" s="107" t="str">
        <f>IFERROR(IF(VLOOKUP(F54,Lookups!$A$2:$F$111,3,FALSE)="","",VLOOKUP(F54,Lookups!$A$2:$F$111,3,FALSE)),"")</f>
        <v>B</v>
      </c>
      <c r="I54" s="107" t="str">
        <f>IFERROR(IF(AF54=0,"",VLOOKUP(AF54,Lookups!$K$2:$L$6,2,TRUE)),"")</f>
        <v>B</v>
      </c>
      <c r="J54" s="107" t="str">
        <f>IF(AD54&lt;Lookups!$I$5,"Y","N")</f>
        <v>Y</v>
      </c>
      <c r="K54" s="107" t="str">
        <f>IFERROR(IF(VLOOKUP(F54,Lookups!$A$2:$F$111,4,FALSE)="","",VLOOKUP(F54,Lookups!$A$2:$F$111,4,FALSE)),"")</f>
        <v>Piston</v>
      </c>
      <c r="L54" s="107" t="str">
        <f>IFERROR(IF(VLOOKUP(F54,Lookups!$A$2:$F$111,5,FALSE)="","",VLOOKUP(F54,Lookups!$A$2:$F$111,5,FALSE)),"")</f>
        <v>Weston Warrior</v>
      </c>
      <c r="M54" s="108" t="str">
        <f>IFERROR(IF(VLOOKUP(F54,Lookups!$A$2:$F$111,6,FALSE)="","",VLOOKUP(F54,Lookups!$A$2:$F$111,6,FALSE)),"")</f>
        <v>Weston Warriors</v>
      </c>
      <c r="N54" s="57">
        <f>IFERROR(IF(VLOOKUP(F54,Scores!$A$1:$I$99,2,FALSE)="","",VLOOKUP(F54,Scores!$A$1:$I$99,2,FALSE)),"")</f>
        <v>18</v>
      </c>
      <c r="O54" s="58">
        <f>IFERROR(IF(VLOOKUP(F54,Scores!$A$1:$I$99,3,FALSE)="","",VLOOKUP(F54,Scores!$A$1:$I$99,3,FALSE)),"")</f>
        <v>20</v>
      </c>
      <c r="P54" s="58">
        <f>IFERROR(IF(VLOOKUP(F54,Scores!$A$1:$I$99,4,FALSE)="","",VLOOKUP(F54,Scores!$A$1:$I$99,4,FALSE)),"")</f>
        <v>25</v>
      </c>
      <c r="Q54" s="58" t="str">
        <f>IFERROR(IF(VLOOKUP(F54,Scores!$A$1:$I$99,5,FALSE)="","",VLOOKUP(F54,Scores!$A$1:$I$99,5,FALSE)),"")</f>
        <v/>
      </c>
      <c r="R54" s="58" t="str">
        <f>IFERROR(IF(VLOOKUP(F54,Scores!$A$1:$I$99,6,FALSE)="","",VLOOKUP(F54,Scores!$A$1:$I$99,6,FALSE)),"")</f>
        <v/>
      </c>
      <c r="S54" s="58" t="str">
        <f>IFERROR(IF(VLOOKUP(F54,Scores!$A$1:$I$99,7,FALSE)="","",VLOOKUP(F54,Scores!$A$1:$I$99,7,FALSE)),"")</f>
        <v/>
      </c>
      <c r="T54" s="58" t="str">
        <f>IFERROR(IF(VLOOKUP(F54,Scores!$A$1:$I$99,8,FALSE)="","",VLOOKUP(F54,Scores!$A$1:$I$99,8,FALSE)),"")</f>
        <v/>
      </c>
      <c r="U54" s="60" t="str">
        <f>IFERROR(IF(VLOOKUP(F54,Scores!$A$1:$I$99,9,FALSE)="","",VLOOKUP(F54,Scores!$A$1:$I$99,9,FALSE)),"")</f>
        <v/>
      </c>
      <c r="V54" s="54">
        <f t="shared" si="28"/>
        <v>0.48648648648648651</v>
      </c>
      <c r="W54" s="55">
        <f t="shared" si="29"/>
        <v>0.64516129032258063</v>
      </c>
      <c r="X54" s="55">
        <f t="shared" si="30"/>
        <v>0.67567567567567566</v>
      </c>
      <c r="Y54" s="55" t="str">
        <f t="shared" si="31"/>
        <v/>
      </c>
      <c r="Z54" s="55" t="str">
        <f t="shared" si="32"/>
        <v/>
      </c>
      <c r="AA54" s="55" t="str">
        <f t="shared" si="33"/>
        <v/>
      </c>
      <c r="AB54" s="55" t="str">
        <f t="shared" si="34"/>
        <v/>
      </c>
      <c r="AC54" s="56" t="str">
        <f t="shared" si="35"/>
        <v/>
      </c>
      <c r="AD54" s="79">
        <f t="shared" si="25"/>
        <v>3</v>
      </c>
      <c r="AE54" s="59">
        <f t="shared" si="26"/>
        <v>0.60244115082824756</v>
      </c>
      <c r="AF54" s="55" cm="1">
        <f t="array" ref="AF54">IFERROR(IF(AD54&gt;Lookups!$I$5-1,AVERAGE(LARGE(V54:AC54,_xlfn.SEQUENCE(Lookups!$I$5))),AVERAGE(LARGE(V54:AC54,_xlfn.SEQUENCE(AD54)))),"")</f>
        <v>0.60244115082824756</v>
      </c>
      <c r="AG54" s="124">
        <f t="shared" si="27"/>
        <v>63</v>
      </c>
      <c r="AH54" s="78" t="str">
        <f>IF(AD54=Lookups!$I$5+1,LARGE(V54:AC54,5),"")</f>
        <v/>
      </c>
      <c r="AI54" s="78" t="str">
        <f>IF(AD54=Lookups!$I$5+2,LARGE(V54:AC54,6),"")</f>
        <v/>
      </c>
      <c r="AJ54" s="78"/>
      <c r="AK54" s="78"/>
      <c r="AL54" s="140">
        <f t="shared" si="11"/>
        <v>32</v>
      </c>
      <c r="AM54" s="134" t="str">
        <f>IF(OR(AD54=0,AD54=""),"",IF(COUNTIFS($AR$6:$AR$177,"&gt;"&amp;AR54)+COUNTIFS(AR$6:AR54,"="&amp;AR54)=0,"",COUNTIFS($AR$6:$AR$177,"&gt;"&amp;AR54)+COUNTIFS(AR$6:AR54,"="&amp;AR54)))</f>
        <v/>
      </c>
      <c r="AN54" s="134">
        <f>IFERROR(IF(OR(AD54=0,AD54=""),"",IF(COUNTIFS($AS$6:$AS$177,"&gt;"&amp;AS54)+COUNTIFS(AS$6:AS54,"="&amp;AS54)=0,"",COUNTIFS($AS$6:$AS$177,"&gt;"&amp;AS54)+COUNTIFS(AS$6:AS54,"="&amp;AS54)+$AM$5)),"")</f>
        <v>32</v>
      </c>
      <c r="AO54" s="134" t="str">
        <f>IFERROR(IF(OR(AD54=0,AD54=""),"",IF(COUNTIFS($AT$6:$AT$177,"&gt;"&amp;AT54)+COUNTIFS(AT$6:AT54,"="&amp;AT54)=0,"",COUNTIFS($AT$6:$AT$177,"&gt;"&amp;AT54)+COUNTIFS(AT$6:AT54,"="&amp;AT54)+$AN$5)),"")</f>
        <v/>
      </c>
      <c r="AP54" s="134" t="str">
        <f>IFERROR(IF(OR(AD54=0,AD54=""),"",IF(COUNTIFS($AU$6:$AU$177,"&gt;"&amp;AU54)+COUNTIFS(AU$6:AU54,"="&amp;AU54)=0,"",COUNTIFS($AU$6:$AU$177,"&gt;"&amp;AU54)+COUNTIFS(AU$6:AU54,"="&amp;AU54)+$AO$5)),"")</f>
        <v/>
      </c>
      <c r="AQ54" s="134" t="str">
        <f>IFERROR(IF(OR(AD54=0,AD54=""),"",IF(COUNTIFS($AV$6:$AV$177,"&gt;"&amp;AV54)+COUNTIFS(AV$6:AV54,"="&amp;AV54)=0,"",COUNTIFS($AV$6:$AV$177,"&gt;"&amp;AV54)+COUNTIFS(AV$6:AV54,"="&amp;AV54)+$AP$5)),"")</f>
        <v/>
      </c>
      <c r="AR54" s="78" t="str">
        <f t="shared" si="12"/>
        <v/>
      </c>
      <c r="AS54" s="78">
        <f t="shared" si="13"/>
        <v>0.60244115082824756</v>
      </c>
      <c r="AT54" s="78" t="str">
        <f t="shared" si="14"/>
        <v/>
      </c>
      <c r="AU54" s="78" t="str">
        <f t="shared" si="15"/>
        <v/>
      </c>
      <c r="AV54" s="78" t="str">
        <f t="shared" si="16"/>
        <v/>
      </c>
    </row>
    <row r="55" spans="1:48" ht="16.5" customHeight="1" x14ac:dyDescent="0.3">
      <c r="A55" t="str">
        <f>IF(AD55="","",COUNTIFS($H$6:$H$120,H55,$AF$6:$AF$120,"&gt;"&amp;AF55)+COUNTIFS(H55:$H$120,H55,AF55:$AF$120,AF55))</f>
        <v/>
      </c>
      <c r="C55" t="str">
        <f t="shared" si="10"/>
        <v/>
      </c>
      <c r="D55" t="str">
        <f>IF(AG55=0,"",IF(COUNTIFS($AG$6:$AG$177,"&gt;"&amp;AG55)+COUNTIFS(AG$6:AG55,"="&amp;AG55)=0,"",COUNTIFS($AG$6:$AG$177,"&gt;"&amp;AG55)+COUNTIFS(AG$6:AG55,"="&amp;AG55)))</f>
        <v/>
      </c>
      <c r="F55" s="21"/>
      <c r="G55" s="107" t="str">
        <f>IFERROR(IF(VLOOKUP(F55,Lookups!$A$2:$F$111,2,FALSE)="","",VLOOKUP(F55,Lookups!$A$2:$F$111,2,FALSE)),"")</f>
        <v/>
      </c>
      <c r="H55" s="107" t="str">
        <f>IFERROR(IF(VLOOKUP(F55,Lookups!$A$2:$F$111,3,FALSE)="","",VLOOKUP(F55,Lookups!$A$2:$F$111,3,FALSE)),"")</f>
        <v/>
      </c>
      <c r="I55" s="107" t="str">
        <f>IFERROR(IF(AF55=0,"",VLOOKUP(AF55,Lookups!$K$2:$L$6,2,TRUE)),"")</f>
        <v/>
      </c>
      <c r="J55" s="107" t="str">
        <f>IF(AD55&lt;Lookups!$I$5,"Y","N")</f>
        <v>N</v>
      </c>
      <c r="K55" s="107" t="str">
        <f>IFERROR(IF(VLOOKUP(F55,Lookups!$A$2:$F$111,4,FALSE)="","",VLOOKUP(F55,Lookups!$A$2:$F$111,4,FALSE)),"")</f>
        <v/>
      </c>
      <c r="L55" s="107" t="str">
        <f>IFERROR(IF(VLOOKUP(F55,Lookups!$A$2:$F$111,5,FALSE)="","",VLOOKUP(F55,Lookups!$A$2:$F$111,5,FALSE)),"")</f>
        <v/>
      </c>
      <c r="M55" s="108" t="str">
        <f>IFERROR(IF(VLOOKUP(F55,Lookups!$A$2:$F$111,6,FALSE)="","",VLOOKUP(F55,Lookups!$A$2:$F$111,6,FALSE)),"")</f>
        <v/>
      </c>
      <c r="N55" s="57" t="str">
        <f>IFERROR(IF(VLOOKUP(F55,Scores!$A$1:$I$99,2,FALSE)="","",VLOOKUP(F55,Scores!$A$1:$I$99,2,FALSE)),"")</f>
        <v/>
      </c>
      <c r="O55" s="58" t="str">
        <f>IFERROR(IF(VLOOKUP(F55,Scores!$A$1:$I$99,3,FALSE)="","",VLOOKUP(F55,Scores!$A$1:$I$99,3,FALSE)),"")</f>
        <v/>
      </c>
      <c r="P55" s="58" t="str">
        <f>IFERROR(IF(VLOOKUP(F55,Scores!$A$1:$I$99,4,FALSE)="","",VLOOKUP(F55,Scores!$A$1:$I$99,4,FALSE)),"")</f>
        <v/>
      </c>
      <c r="Q55" s="58" t="str">
        <f>IFERROR(IF(VLOOKUP(F55,Scores!$A$1:$I$99,5,FALSE)="","",VLOOKUP(F55,Scores!$A$1:$I$99,5,FALSE)),"")</f>
        <v/>
      </c>
      <c r="R55" s="58" t="str">
        <f>IFERROR(IF(VLOOKUP(F55,Scores!$A$1:$I$99,6,FALSE)="","",VLOOKUP(F55,Scores!$A$1:$I$99,6,FALSE)),"")</f>
        <v/>
      </c>
      <c r="S55" s="58" t="str">
        <f>IFERROR(IF(VLOOKUP(F55,Scores!$A$1:$I$99,7,FALSE)="","",VLOOKUP(F55,Scores!$A$1:$I$99,7,FALSE)),"")</f>
        <v/>
      </c>
      <c r="T55" s="58" t="str">
        <f>IFERROR(IF(VLOOKUP(F55,Scores!$A$1:$I$99,8,FALSE)="","",VLOOKUP(F55,Scores!$A$1:$I$99,8,FALSE)),"")</f>
        <v/>
      </c>
      <c r="U55" s="60" t="str">
        <f>IFERROR(IF(VLOOKUP(F55,Scores!$A$1:$I$99,9,FALSE)="","",VLOOKUP(F55,Scores!$A$1:$I$99,9,FALSE)),"")</f>
        <v/>
      </c>
      <c r="V55" s="54" t="str">
        <f t="shared" si="28"/>
        <v/>
      </c>
      <c r="W55" s="55" t="str">
        <f t="shared" si="29"/>
        <v/>
      </c>
      <c r="X55" s="55" t="str">
        <f t="shared" si="30"/>
        <v/>
      </c>
      <c r="Y55" s="55" t="str">
        <f t="shared" si="31"/>
        <v/>
      </c>
      <c r="Z55" s="55" t="str">
        <f t="shared" si="32"/>
        <v/>
      </c>
      <c r="AA55" s="55" t="str">
        <f t="shared" si="33"/>
        <v/>
      </c>
      <c r="AB55" s="55" t="str">
        <f t="shared" si="34"/>
        <v/>
      </c>
      <c r="AC55" s="56" t="str">
        <f t="shared" si="35"/>
        <v/>
      </c>
      <c r="AD55" s="79" t="str">
        <f t="shared" si="25"/>
        <v/>
      </c>
      <c r="AE55" s="59" t="str">
        <f t="shared" si="26"/>
        <v/>
      </c>
      <c r="AF55" s="55" t="str" cm="1">
        <f t="array" ref="AF55">IFERROR(IF(AD55&gt;Lookups!$I$5-1,AVERAGE(LARGE(V55:AC55,_xlfn.SEQUENCE(Lookups!$I$5))),AVERAGE(LARGE(V55:AC55,_xlfn.SEQUENCE(AD55)))),"")</f>
        <v/>
      </c>
      <c r="AG55" s="124" t="str">
        <f t="shared" si="27"/>
        <v/>
      </c>
      <c r="AH55" s="78" t="str">
        <f>IF(AD55=Lookups!$I$5+1,LARGE(V55:AC55,5),"")</f>
        <v/>
      </c>
      <c r="AI55" s="78" t="str">
        <f>IF(AD55=Lookups!$I$5+2,LARGE(V55:AC55,6),"")</f>
        <v/>
      </c>
      <c r="AJ55" s="78"/>
      <c r="AK55" s="78"/>
      <c r="AL55" s="140" t="str">
        <f t="shared" si="11"/>
        <v/>
      </c>
      <c r="AM55" s="134" t="str">
        <f>IF(OR(AD55=0,AD55=""),"",IF(COUNTIFS($AR$6:$AR$177,"&gt;"&amp;AR55)+COUNTIFS(AR$6:AR55,"="&amp;AR55)=0,"",COUNTIFS($AR$6:$AR$177,"&gt;"&amp;AR55)+COUNTIFS(AR$6:AR55,"="&amp;AR55)))</f>
        <v/>
      </c>
      <c r="AN55" s="134" t="str">
        <f>IFERROR(IF(OR(AD55=0,AD55=""),"",IF(COUNTIFS($AS$6:$AS$177,"&gt;"&amp;AS55)+COUNTIFS(AS$6:AS55,"="&amp;AS55)=0,"",COUNTIFS($AS$6:$AS$177,"&gt;"&amp;AS55)+COUNTIFS(AS$6:AS55,"="&amp;AS55)+$AM$5)),"")</f>
        <v/>
      </c>
      <c r="AO55" s="134" t="str">
        <f>IFERROR(IF(OR(AD55=0,AD55=""),"",IF(COUNTIFS($AT$6:$AT$177,"&gt;"&amp;AT55)+COUNTIFS(AT$6:AT55,"="&amp;AT55)=0,"",COUNTIFS($AT$6:$AT$177,"&gt;"&amp;AT55)+COUNTIFS(AT$6:AT55,"="&amp;AT55)+$AN$5)),"")</f>
        <v/>
      </c>
      <c r="AP55" s="134" t="str">
        <f>IFERROR(IF(OR(AD55=0,AD55=""),"",IF(COUNTIFS($AU$6:$AU$177,"&gt;"&amp;AU55)+COUNTIFS(AU$6:AU55,"="&amp;AU55)=0,"",COUNTIFS($AU$6:$AU$177,"&gt;"&amp;AU55)+COUNTIFS(AU$6:AU55,"="&amp;AU55)+$AO$5)),"")</f>
        <v/>
      </c>
      <c r="AQ55" s="134" t="str">
        <f>IFERROR(IF(OR(AD55=0,AD55=""),"",IF(COUNTIFS($AV$6:$AV$177,"&gt;"&amp;AV55)+COUNTIFS(AV$6:AV55,"="&amp;AV55)=0,"",COUNTIFS($AV$6:$AV$177,"&gt;"&amp;AV55)+COUNTIFS(AV$6:AV55,"="&amp;AV55)+$AP$5)),"")</f>
        <v/>
      </c>
      <c r="AR55" s="78" t="str">
        <f t="shared" si="12"/>
        <v/>
      </c>
      <c r="AS55" s="78" t="str">
        <f t="shared" si="13"/>
        <v/>
      </c>
      <c r="AT55" s="78" t="str">
        <f t="shared" si="14"/>
        <v/>
      </c>
      <c r="AU55" s="78" t="str">
        <f t="shared" si="15"/>
        <v/>
      </c>
      <c r="AV55" s="78" t="str">
        <f t="shared" si="16"/>
        <v/>
      </c>
    </row>
    <row r="56" spans="1:48" ht="16.5" customHeight="1" x14ac:dyDescent="0.3">
      <c r="A56" t="str">
        <f>IF(AD56="","",COUNTIFS($H$6:$H$120,H56,$AF$6:$AF$120,"&gt;"&amp;AF56)+COUNTIFS(H56:$H$120,H56,AF56:$AF$120,AF56))</f>
        <v/>
      </c>
      <c r="C56" t="str">
        <f t="shared" si="10"/>
        <v/>
      </c>
      <c r="D56" t="str">
        <f>IF(AG56=0,"",IF(COUNTIFS($AG$6:$AG$177,"&gt;"&amp;AG56)+COUNTIFS(AG$6:AG56,"="&amp;AG56)=0,"",COUNTIFS($AG$6:$AG$177,"&gt;"&amp;AG56)+COUNTIFS(AG$6:AG56,"="&amp;AG56)))</f>
        <v/>
      </c>
      <c r="F56" s="21"/>
      <c r="G56" s="107" t="str">
        <f>IFERROR(IF(VLOOKUP(F56,Lookups!$A$2:$F$111,2,FALSE)="","",VLOOKUP(F56,Lookups!$A$2:$F$111,2,FALSE)),"")</f>
        <v/>
      </c>
      <c r="H56" s="107" t="str">
        <f>IFERROR(IF(VLOOKUP(F56,Lookups!$A$2:$F$111,3,FALSE)="","",VLOOKUP(F56,Lookups!$A$2:$F$111,3,FALSE)),"")</f>
        <v/>
      </c>
      <c r="I56" s="107" t="str">
        <f>IFERROR(IF(AF56=0,"",VLOOKUP(AF56,Lookups!$K$2:$L$6,2,TRUE)),"")</f>
        <v/>
      </c>
      <c r="J56" s="107" t="str">
        <f>IF(AD56&lt;Lookups!$I$5,"Y","N")</f>
        <v>N</v>
      </c>
      <c r="K56" s="107" t="str">
        <f>IFERROR(IF(VLOOKUP(F56,Lookups!$A$2:$F$111,4,FALSE)="","",VLOOKUP(F56,Lookups!$A$2:$F$111,4,FALSE)),"")</f>
        <v/>
      </c>
      <c r="L56" s="107" t="str">
        <f>IFERROR(IF(VLOOKUP(F56,Lookups!$A$2:$F$111,5,FALSE)="","",VLOOKUP(F56,Lookups!$A$2:$F$111,5,FALSE)),"")</f>
        <v/>
      </c>
      <c r="M56" s="108" t="str">
        <f>IFERROR(IF(VLOOKUP(F56,Lookups!$A$2:$F$111,6,FALSE)="","",VLOOKUP(F56,Lookups!$A$2:$F$111,6,FALSE)),"")</f>
        <v/>
      </c>
      <c r="N56" s="57" t="str">
        <f>IFERROR(IF(VLOOKUP(F56,Scores!$A$1:$I$99,2,FALSE)="","",VLOOKUP(F56,Scores!$A$1:$I$99,2,FALSE)),"")</f>
        <v/>
      </c>
      <c r="O56" s="58" t="str">
        <f>IFERROR(IF(VLOOKUP(F56,Scores!$A$1:$I$99,3,FALSE)="","",VLOOKUP(F56,Scores!$A$1:$I$99,3,FALSE)),"")</f>
        <v/>
      </c>
      <c r="P56" s="58" t="str">
        <f>IFERROR(IF(VLOOKUP(F56,Scores!$A$1:$I$99,4,FALSE)="","",VLOOKUP(F56,Scores!$A$1:$I$99,4,FALSE)),"")</f>
        <v/>
      </c>
      <c r="Q56" s="58" t="str">
        <f>IFERROR(IF(VLOOKUP(F56,Scores!$A$1:$I$99,5,FALSE)="","",VLOOKUP(F56,Scores!$A$1:$I$99,5,FALSE)),"")</f>
        <v/>
      </c>
      <c r="R56" s="58" t="str">
        <f>IFERROR(IF(VLOOKUP(F56,Scores!$A$1:$I$99,6,FALSE)="","",VLOOKUP(F56,Scores!$A$1:$I$99,6,FALSE)),"")</f>
        <v/>
      </c>
      <c r="S56" s="58" t="str">
        <f>IFERROR(IF(VLOOKUP(F56,Scores!$A$1:$I$99,7,FALSE)="","",VLOOKUP(F56,Scores!$A$1:$I$99,7,FALSE)),"")</f>
        <v/>
      </c>
      <c r="T56" s="58" t="str">
        <f>IFERROR(IF(VLOOKUP(F56,Scores!$A$1:$I$99,8,FALSE)="","",VLOOKUP(F56,Scores!$A$1:$I$99,8,FALSE)),"")</f>
        <v/>
      </c>
      <c r="U56" s="60" t="str">
        <f>IFERROR(IF(VLOOKUP(F56,Scores!$A$1:$I$99,9,FALSE)="","",VLOOKUP(F56,Scores!$A$1:$I$99,9,FALSE)),"")</f>
        <v/>
      </c>
      <c r="V56" s="54" t="str">
        <f t="shared" si="28"/>
        <v/>
      </c>
      <c r="W56" s="55" t="str">
        <f t="shared" si="29"/>
        <v/>
      </c>
      <c r="X56" s="55" t="str">
        <f t="shared" si="30"/>
        <v/>
      </c>
      <c r="Y56" s="55" t="str">
        <f t="shared" si="31"/>
        <v/>
      </c>
      <c r="Z56" s="55" t="str">
        <f t="shared" si="32"/>
        <v/>
      </c>
      <c r="AA56" s="55" t="str">
        <f t="shared" si="33"/>
        <v/>
      </c>
      <c r="AB56" s="55" t="str">
        <f t="shared" si="34"/>
        <v/>
      </c>
      <c r="AC56" s="56" t="str">
        <f t="shared" si="35"/>
        <v/>
      </c>
      <c r="AD56" s="79" t="str">
        <f t="shared" si="25"/>
        <v/>
      </c>
      <c r="AE56" s="59" t="str">
        <f t="shared" si="26"/>
        <v/>
      </c>
      <c r="AF56" s="55" t="str" cm="1">
        <f t="array" ref="AF56">IFERROR(IF(AD56&gt;Lookups!$I$5-1,AVERAGE(LARGE(V56:AC56,_xlfn.SEQUENCE(Lookups!$I$5))),AVERAGE(LARGE(V56:AC56,_xlfn.SEQUENCE(AD56)))),"")</f>
        <v/>
      </c>
      <c r="AG56" s="124" t="str">
        <f t="shared" si="27"/>
        <v/>
      </c>
      <c r="AH56" s="78" t="str">
        <f>IF(AD56=Lookups!$I$5+1,LARGE(V56:AC56,5),"")</f>
        <v/>
      </c>
      <c r="AI56" s="78" t="str">
        <f>IF(AD56=Lookups!$I$5+2,LARGE(V56:AC56,6),"")</f>
        <v/>
      </c>
      <c r="AJ56" s="78"/>
      <c r="AK56" s="78"/>
      <c r="AL56" s="140" t="str">
        <f t="shared" si="11"/>
        <v/>
      </c>
      <c r="AM56" s="134" t="str">
        <f>IF(OR(AD56=0,AD56=""),"",IF(COUNTIFS($AR$6:$AR$177,"&gt;"&amp;AR56)+COUNTIFS(AR$6:AR56,"="&amp;AR56)=0,"",COUNTIFS($AR$6:$AR$177,"&gt;"&amp;AR56)+COUNTIFS(AR$6:AR56,"="&amp;AR56)))</f>
        <v/>
      </c>
      <c r="AN56" s="134" t="str">
        <f>IFERROR(IF(OR(AD56=0,AD56=""),"",IF(COUNTIFS($AS$6:$AS$177,"&gt;"&amp;AS56)+COUNTIFS(AS$6:AS56,"="&amp;AS56)=0,"",COUNTIFS($AS$6:$AS$177,"&gt;"&amp;AS56)+COUNTIFS(AS$6:AS56,"="&amp;AS56)+$AM$5)),"")</f>
        <v/>
      </c>
      <c r="AO56" s="134" t="str">
        <f>IFERROR(IF(OR(AD56=0,AD56=""),"",IF(COUNTIFS($AT$6:$AT$177,"&gt;"&amp;AT56)+COUNTIFS(AT$6:AT56,"="&amp;AT56)=0,"",COUNTIFS($AT$6:$AT$177,"&gt;"&amp;AT56)+COUNTIFS(AT$6:AT56,"="&amp;AT56)+$AN$5)),"")</f>
        <v/>
      </c>
      <c r="AP56" s="134" t="str">
        <f>IFERROR(IF(OR(AD56=0,AD56=""),"",IF(COUNTIFS($AU$6:$AU$177,"&gt;"&amp;AU56)+COUNTIFS(AU$6:AU56,"="&amp;AU56)=0,"",COUNTIFS($AU$6:$AU$177,"&gt;"&amp;AU56)+COUNTIFS(AU$6:AU56,"="&amp;AU56)+$AO$5)),"")</f>
        <v/>
      </c>
      <c r="AQ56" s="134" t="str">
        <f>IFERROR(IF(OR(AD56=0,AD56=""),"",IF(COUNTIFS($AV$6:$AV$177,"&gt;"&amp;AV56)+COUNTIFS(AV$6:AV56,"="&amp;AV56)=0,"",COUNTIFS($AV$6:$AV$177,"&gt;"&amp;AV56)+COUNTIFS(AV$6:AV56,"="&amp;AV56)+$AP$5)),"")</f>
        <v/>
      </c>
      <c r="AR56" s="78" t="str">
        <f t="shared" si="12"/>
        <v/>
      </c>
      <c r="AS56" s="78" t="str">
        <f t="shared" si="13"/>
        <v/>
      </c>
      <c r="AT56" s="78" t="str">
        <f t="shared" si="14"/>
        <v/>
      </c>
      <c r="AU56" s="78" t="str">
        <f t="shared" si="15"/>
        <v/>
      </c>
      <c r="AV56" s="78" t="str">
        <f t="shared" si="16"/>
        <v/>
      </c>
    </row>
    <row r="57" spans="1:48" ht="16.5" customHeight="1" x14ac:dyDescent="0.3">
      <c r="A57" t="str">
        <f>IF(AD57="","",COUNTIFS($H$6:$H$120,H57,$AF$6:$AF$120,"&gt;"&amp;AF57)+COUNTIFS(H57:$H$120,H57,AF57:$AF$120,AF57))</f>
        <v/>
      </c>
      <c r="C57" t="str">
        <f t="shared" si="10"/>
        <v/>
      </c>
      <c r="D57" t="str">
        <f>IF(AG57=0,"",IF(COUNTIFS($AG$6:$AG$177,"&gt;"&amp;AG57)+COUNTIFS(AG$6:AG57,"="&amp;AG57)=0,"",COUNTIFS($AG$6:$AG$177,"&gt;"&amp;AG57)+COUNTIFS(AG$6:AG57,"="&amp;AG57)))</f>
        <v/>
      </c>
      <c r="F57" s="21" t="s">
        <v>88</v>
      </c>
      <c r="G57" s="107" t="str">
        <f>IFERROR(IF(VLOOKUP(F57,Lookups!$A$2:$F$111,2,FALSE)="","",VLOOKUP(F57,Lookups!$A$2:$F$111,2,FALSE)),"")</f>
        <v/>
      </c>
      <c r="H57" s="107" t="str">
        <f>IFERROR(IF(VLOOKUP(F57,Lookups!$A$2:$F$111,3,FALSE)="","",VLOOKUP(F57,Lookups!$A$2:$F$111,3,FALSE)),"")</f>
        <v>B</v>
      </c>
      <c r="I57" s="107" t="str">
        <f>IFERROR(IF(AF57=0,"",VLOOKUP(AF57,Lookups!$K$2:$L$6,2,TRUE)),"")</f>
        <v/>
      </c>
      <c r="J57" s="107" t="str">
        <f>IF(AD57&lt;Lookups!$I$5,"Y","N")</f>
        <v>N</v>
      </c>
      <c r="K57" s="107" t="str">
        <f>IFERROR(IF(VLOOKUP(F57,Lookups!$A$2:$F$111,4,FALSE)="","",VLOOKUP(F57,Lookups!$A$2:$F$111,4,FALSE)),"")</f>
        <v>PCP</v>
      </c>
      <c r="L57" s="107" t="str">
        <f>IFERROR(IF(VLOOKUP(F57,Lookups!$A$2:$F$111,5,FALSE)="","",VLOOKUP(F57,Lookups!$A$2:$F$111,5,FALSE)),"")</f>
        <v>Meon</v>
      </c>
      <c r="M57" s="108" t="str">
        <f>IFERROR(IF(VLOOKUP(F57,Lookups!$A$2:$F$111,6,FALSE)="","",VLOOKUP(F57,Lookups!$A$2:$F$111,6,FALSE)),"")</f>
        <v/>
      </c>
      <c r="N57" s="57" t="str">
        <f>IFERROR(IF(VLOOKUP(F57,Scores!$A$1:$I$99,2,FALSE)="","",VLOOKUP(F57,Scores!$A$1:$I$99,2,FALSE)),"")</f>
        <v/>
      </c>
      <c r="O57" s="58" t="str">
        <f>IFERROR(IF(VLOOKUP(F57,Scores!$A$1:$I$99,3,FALSE)="","",VLOOKUP(F57,Scores!$A$1:$I$99,3,FALSE)),"")</f>
        <v/>
      </c>
      <c r="P57" s="58" t="str">
        <f>IFERROR(IF(VLOOKUP(F57,Scores!$A$1:$I$99,4,FALSE)="","",VLOOKUP(F57,Scores!$A$1:$I$99,4,FALSE)),"")</f>
        <v/>
      </c>
      <c r="Q57" s="58" t="str">
        <f>IFERROR(IF(VLOOKUP(F57,Scores!$A$1:$I$99,5,FALSE)="","",VLOOKUP(F57,Scores!$A$1:$I$99,5,FALSE)),"")</f>
        <v/>
      </c>
      <c r="R57" s="58" t="str">
        <f>IFERROR(IF(VLOOKUP(F57,Scores!$A$1:$I$99,6,FALSE)="","",VLOOKUP(F57,Scores!$A$1:$I$99,6,FALSE)),"")</f>
        <v/>
      </c>
      <c r="S57" s="58" t="str">
        <f>IFERROR(IF(VLOOKUP(F57,Scores!$A$1:$I$99,7,FALSE)="","",VLOOKUP(F57,Scores!$A$1:$I$99,7,FALSE)),"")</f>
        <v/>
      </c>
      <c r="T57" s="58" t="str">
        <f>IFERROR(IF(VLOOKUP(F57,Scores!$A$1:$I$99,8,FALSE)="","",VLOOKUP(F57,Scores!$A$1:$I$99,8,FALSE)),"")</f>
        <v/>
      </c>
      <c r="U57" s="60" t="str">
        <f>IFERROR(IF(VLOOKUP(F57,Scores!$A$1:$I$99,9,FALSE)="","",VLOOKUP(F57,Scores!$A$1:$I$99,9,FALSE)),"")</f>
        <v/>
      </c>
      <c r="V57" s="54" t="str">
        <f t="shared" si="28"/>
        <v/>
      </c>
      <c r="W57" s="55" t="str">
        <f t="shared" si="29"/>
        <v/>
      </c>
      <c r="X57" s="55" t="str">
        <f t="shared" si="30"/>
        <v/>
      </c>
      <c r="Y57" s="55" t="str">
        <f t="shared" si="31"/>
        <v/>
      </c>
      <c r="Z57" s="55" t="str">
        <f t="shared" si="32"/>
        <v/>
      </c>
      <c r="AA57" s="55" t="str">
        <f t="shared" si="33"/>
        <v/>
      </c>
      <c r="AB57" s="55" t="str">
        <f t="shared" si="34"/>
        <v/>
      </c>
      <c r="AC57" s="56" t="str">
        <f t="shared" si="35"/>
        <v/>
      </c>
      <c r="AD57" s="79" t="str">
        <f t="shared" si="25"/>
        <v/>
      </c>
      <c r="AE57" s="59" t="str">
        <f t="shared" si="26"/>
        <v/>
      </c>
      <c r="AF57" s="55" t="str" cm="1">
        <f t="array" ref="AF57">IFERROR(IF(AD57&gt;Lookups!$I$5-1,AVERAGE(LARGE(V57:AC57,_xlfn.SEQUENCE(Lookups!$I$5))),AVERAGE(LARGE(V57:AC57,_xlfn.SEQUENCE(AD57)))),"")</f>
        <v/>
      </c>
      <c r="AG57" s="124" t="str">
        <f t="shared" si="27"/>
        <v/>
      </c>
      <c r="AH57" s="78" t="str">
        <f>IF(AD57=Lookups!$I$5+1,LARGE(V57:AC57,5),"")</f>
        <v/>
      </c>
      <c r="AI57" s="78" t="str">
        <f>IF(AD57=Lookups!$I$5+2,LARGE(V57:AC57,6),"")</f>
        <v/>
      </c>
      <c r="AJ57" s="78"/>
      <c r="AK57" s="78"/>
      <c r="AL57" s="140" t="str">
        <f t="shared" si="11"/>
        <v/>
      </c>
      <c r="AM57" s="134" t="str">
        <f>IF(OR(AD57=0,AD57=""),"",IF(COUNTIFS($AR$6:$AR$177,"&gt;"&amp;AR57)+COUNTIFS(AR$6:AR57,"="&amp;AR57)=0,"",COUNTIFS($AR$6:$AR$177,"&gt;"&amp;AR57)+COUNTIFS(AR$6:AR57,"="&amp;AR57)))</f>
        <v/>
      </c>
      <c r="AN57" s="134" t="str">
        <f>IFERROR(IF(OR(AD57=0,AD57=""),"",IF(COUNTIFS($AS$6:$AS$177,"&gt;"&amp;AS57)+COUNTIFS(AS$6:AS57,"="&amp;AS57)=0,"",COUNTIFS($AS$6:$AS$177,"&gt;"&amp;AS57)+COUNTIFS(AS$6:AS57,"="&amp;AS57)+$AM$5)),"")</f>
        <v/>
      </c>
      <c r="AO57" s="134" t="str">
        <f>IFERROR(IF(OR(AD57=0,AD57=""),"",IF(COUNTIFS($AT$6:$AT$177,"&gt;"&amp;AT57)+COUNTIFS(AT$6:AT57,"="&amp;AT57)=0,"",COUNTIFS($AT$6:$AT$177,"&gt;"&amp;AT57)+COUNTIFS(AT$6:AT57,"="&amp;AT57)+$AN$5)),"")</f>
        <v/>
      </c>
      <c r="AP57" s="134" t="str">
        <f>IFERROR(IF(OR(AD57=0,AD57=""),"",IF(COUNTIFS($AU$6:$AU$177,"&gt;"&amp;AU57)+COUNTIFS(AU$6:AU57,"="&amp;AU57)=0,"",COUNTIFS($AU$6:$AU$177,"&gt;"&amp;AU57)+COUNTIFS(AU$6:AU57,"="&amp;AU57)+$AO$5)),"")</f>
        <v/>
      </c>
      <c r="AQ57" s="134" t="str">
        <f>IFERROR(IF(OR(AD57=0,AD57=""),"",IF(COUNTIFS($AV$6:$AV$177,"&gt;"&amp;AV57)+COUNTIFS(AV$6:AV57,"="&amp;AV57)=0,"",COUNTIFS($AV$6:$AV$177,"&gt;"&amp;AV57)+COUNTIFS(AV$6:AV57,"="&amp;AV57)+$AP$5)),"")</f>
        <v/>
      </c>
      <c r="AR57" s="78" t="str">
        <f t="shared" si="12"/>
        <v/>
      </c>
      <c r="AS57" s="78" t="str">
        <f t="shared" si="13"/>
        <v/>
      </c>
      <c r="AT57" s="78" t="str">
        <f t="shared" si="14"/>
        <v/>
      </c>
      <c r="AU57" s="78" t="str">
        <f t="shared" si="15"/>
        <v/>
      </c>
      <c r="AV57" s="78" t="str">
        <f t="shared" si="16"/>
        <v/>
      </c>
    </row>
    <row r="58" spans="1:48" ht="16.5" customHeight="1" x14ac:dyDescent="0.3">
      <c r="A58">
        <f>IF(AD58="","",COUNTIFS($H$6:$H$120,H58,$AF$6:$AF$120,"&gt;"&amp;AF58)+COUNTIFS(H58:$H$120,H58,AF58:$AF$120,AF58))</f>
        <v>9</v>
      </c>
      <c r="C58">
        <f t="shared" si="10"/>
        <v>28</v>
      </c>
      <c r="D58">
        <f>IF(AG58=0,"",IF(COUNTIFS($AG$6:$AG$177,"&gt;"&amp;AG58)+COUNTIFS(AG$6:AG58,"="&amp;AG58)=0,"",COUNTIFS($AG$6:$AG$177,"&gt;"&amp;AG58)+COUNTIFS(AG$6:AG58,"="&amp;AG58)))</f>
        <v>21</v>
      </c>
      <c r="F58" s="19" t="s">
        <v>45</v>
      </c>
      <c r="G58" s="107">
        <f>IFERROR(IF(VLOOKUP(F58,Lookups!$A$2:$F$111,2,FALSE)="","",VLOOKUP(F58,Lookups!$A$2:$F$111,2,FALSE)),"")</f>
        <v>402</v>
      </c>
      <c r="H58" s="107" t="str">
        <f>IFERROR(IF(VLOOKUP(F58,Lookups!$A$2:$F$111,3,FALSE)="","",VLOOKUP(F58,Lookups!$A$2:$F$111,3,FALSE)),"")</f>
        <v>B</v>
      </c>
      <c r="I58" s="107" t="str">
        <f>IFERROR(IF(AF58=0,"",VLOOKUP(AF58,Lookups!$K$2:$L$6,2,TRUE)),"")</f>
        <v>B</v>
      </c>
      <c r="J58" s="107" t="str">
        <f>IF(AD58&lt;Lookups!$I$5,"Y","N")</f>
        <v>N</v>
      </c>
      <c r="K58" s="107" t="str">
        <f>IFERROR(IF(VLOOKUP(F58,Lookups!$A$2:$F$111,4,FALSE)="","",VLOOKUP(F58,Lookups!$A$2:$F$111,4,FALSE)),"")</f>
        <v>PCP</v>
      </c>
      <c r="L58" s="107" t="str">
        <f>IFERROR(IF(VLOOKUP(F58,Lookups!$A$2:$F$111,5,FALSE)="","",VLOOKUP(F58,Lookups!$A$2:$F$111,5,FALSE)),"")</f>
        <v>Newbury</v>
      </c>
      <c r="M58" s="108" t="str">
        <f>IFERROR(IF(VLOOKUP(F58,Lookups!$A$2:$F$111,6,FALSE)="","",VLOOKUP(F58,Lookups!$A$2:$F$111,6,FALSE)),"")</f>
        <v>Newbury</v>
      </c>
      <c r="N58" s="57">
        <f>IFERROR(IF(VLOOKUP(F58,Scores!$A$1:$I$99,2,FALSE)="","",VLOOKUP(F58,Scores!$A$1:$I$99,2,FALSE)),"")</f>
        <v>27</v>
      </c>
      <c r="O58" s="58">
        <f>IFERROR(IF(VLOOKUP(F58,Scores!$A$1:$I$99,3,FALSE)="","",VLOOKUP(F58,Scores!$A$1:$I$99,3,FALSE)),"")</f>
        <v>17</v>
      </c>
      <c r="P58" s="58">
        <f>IFERROR(IF(VLOOKUP(F58,Scores!$A$1:$I$99,4,FALSE)="","",VLOOKUP(F58,Scores!$A$1:$I$99,4,FALSE)),"")</f>
        <v>23</v>
      </c>
      <c r="Q58" s="58">
        <f>IFERROR(IF(VLOOKUP(F58,Scores!$A$1:$I$99,5,FALSE)="","",VLOOKUP(F58,Scores!$A$1:$I$99,5,FALSE)),"")</f>
        <v>19</v>
      </c>
      <c r="R58" s="58">
        <f>IFERROR(IF(VLOOKUP(F58,Scores!$A$1:$I$99,6,FALSE)="","",VLOOKUP(F58,Scores!$A$1:$I$99,6,FALSE)),"")</f>
        <v>18</v>
      </c>
      <c r="S58" s="58">
        <f>IFERROR(IF(VLOOKUP(F58,Scores!$A$1:$I$99,7,FALSE)="","",VLOOKUP(F58,Scores!$A$1:$I$99,7,FALSE)),"")</f>
        <v>23</v>
      </c>
      <c r="T58" s="58" t="str">
        <f>IFERROR(IF(VLOOKUP(F58,Scores!$A$1:$I$99,8,FALSE)="","",VLOOKUP(F58,Scores!$A$1:$I$99,8,FALSE)),"")</f>
        <v/>
      </c>
      <c r="U58" s="60" t="str">
        <f>IFERROR(IF(VLOOKUP(F58,Scores!$A$1:$I$99,9,FALSE)="","",VLOOKUP(F58,Scores!$A$1:$I$99,9,FALSE)),"")</f>
        <v/>
      </c>
      <c r="V58" s="54">
        <f t="shared" si="28"/>
        <v>0.72972972972972971</v>
      </c>
      <c r="W58" s="55">
        <f t="shared" si="29"/>
        <v>0.54838709677419351</v>
      </c>
      <c r="X58" s="55">
        <f t="shared" si="30"/>
        <v>0.6216216216216216</v>
      </c>
      <c r="Y58" s="55">
        <f t="shared" si="31"/>
        <v>0.52777777777777779</v>
      </c>
      <c r="Z58" s="55">
        <f t="shared" si="32"/>
        <v>0.47368421052631576</v>
      </c>
      <c r="AA58" s="55">
        <f t="shared" si="33"/>
        <v>0.6216216216216216</v>
      </c>
      <c r="AB58" s="55" t="str">
        <f t="shared" si="34"/>
        <v/>
      </c>
      <c r="AC58" s="56" t="str">
        <f t="shared" si="35"/>
        <v/>
      </c>
      <c r="AD58" s="79">
        <f t="shared" si="25"/>
        <v>6</v>
      </c>
      <c r="AE58" s="59">
        <f t="shared" si="26"/>
        <v>0.58713700967520999</v>
      </c>
      <c r="AF58" s="55" cm="1">
        <f t="array" ref="AF58">IFERROR(IF(AD58&gt;Lookups!$I$5-1,AVERAGE(LARGE(V58:AC58,_xlfn.SEQUENCE(Lookups!$I$5))),AVERAGE(LARGE(V58:AC58,_xlfn.SEQUENCE(AD58)))),"")</f>
        <v>0.63034001743679158</v>
      </c>
      <c r="AG58" s="124">
        <f t="shared" si="27"/>
        <v>127</v>
      </c>
      <c r="AH58" s="78" t="str">
        <f>IF(AD58=Lookups!$I$5+1,LARGE(V58:AC58,5),"")</f>
        <v/>
      </c>
      <c r="AI58" s="78">
        <f>IF(AD58=Lookups!$I$5+2,LARGE(V58:AC58,6),"")</f>
        <v>0.47368421052631576</v>
      </c>
      <c r="AJ58" s="78"/>
      <c r="AK58" s="78"/>
      <c r="AL58" s="140">
        <f t="shared" si="11"/>
        <v>28</v>
      </c>
      <c r="AM58" s="134">
        <f>IF(OR(AD58=0,AD58=""),"",IF(COUNTIFS($AR$6:$AR$177,"&gt;"&amp;AR58)+COUNTIFS(AR$6:AR58,"="&amp;AR58)=0,"",COUNTIFS($AR$6:$AR$177,"&gt;"&amp;AR58)+COUNTIFS(AR$6:AR58,"="&amp;AR58)))</f>
        <v>28</v>
      </c>
      <c r="AN58" s="134" t="str">
        <f>IFERROR(IF(OR(AD58=0,AD58=""),"",IF(COUNTIFS($AS$6:$AS$177,"&gt;"&amp;AS58)+COUNTIFS(AS$6:AS58,"="&amp;AS58)=0,"",COUNTIFS($AS$6:$AS$177,"&gt;"&amp;AS58)+COUNTIFS(AS$6:AS58,"="&amp;AS58)+$AM$5)),"")</f>
        <v/>
      </c>
      <c r="AO58" s="134" t="str">
        <f>IFERROR(IF(OR(AD58=0,AD58=""),"",IF(COUNTIFS($AT$6:$AT$177,"&gt;"&amp;AT58)+COUNTIFS(AT$6:AT58,"="&amp;AT58)=0,"",COUNTIFS($AT$6:$AT$177,"&gt;"&amp;AT58)+COUNTIFS(AT$6:AT58,"="&amp;AT58)+$AN$5)),"")</f>
        <v/>
      </c>
      <c r="AP58" s="134" t="str">
        <f>IFERROR(IF(OR(AD58=0,AD58=""),"",IF(COUNTIFS($AU$6:$AU$177,"&gt;"&amp;AU58)+COUNTIFS(AU$6:AU58,"="&amp;AU58)=0,"",COUNTIFS($AU$6:$AU$177,"&gt;"&amp;AU58)+COUNTIFS(AU$6:AU58,"="&amp;AU58)+$AO$5)),"")</f>
        <v/>
      </c>
      <c r="AQ58" s="134" t="str">
        <f>IFERROR(IF(OR(AD58=0,AD58=""),"",IF(COUNTIFS($AV$6:$AV$177,"&gt;"&amp;AV58)+COUNTIFS(AV$6:AV58,"="&amp;AV58)=0,"",COUNTIFS($AV$6:$AV$177,"&gt;"&amp;AV58)+COUNTIFS(AV$6:AV58,"="&amp;AV58)+$AP$5)),"")</f>
        <v/>
      </c>
      <c r="AR58" s="78">
        <f t="shared" si="12"/>
        <v>0.63034001743679158</v>
      </c>
      <c r="AS58" s="78" t="str">
        <f t="shared" si="13"/>
        <v/>
      </c>
      <c r="AT58" s="78" t="str">
        <f t="shared" si="14"/>
        <v/>
      </c>
      <c r="AU58" s="78" t="str">
        <f t="shared" si="15"/>
        <v/>
      </c>
      <c r="AV58" s="78" t="str">
        <f t="shared" si="16"/>
        <v/>
      </c>
    </row>
    <row r="59" spans="1:48" ht="16.5" customHeight="1" x14ac:dyDescent="0.3">
      <c r="A59">
        <f>IF(AD59="","",COUNTIFS($H$6:$H$120,H59,$AF$6:$AF$120,"&gt;"&amp;AF59)+COUNTIFS(H59:$H$120,H59,AF59:$AF$120,AF59))</f>
        <v>10</v>
      </c>
      <c r="C59">
        <f t="shared" si="10"/>
        <v>43</v>
      </c>
      <c r="D59">
        <f>IF(AG59=0,"",IF(COUNTIFS($AG$6:$AG$177,"&gt;"&amp;AG59)+COUNTIFS(AG$6:AG59,"="&amp;AG59)=0,"",COUNTIFS($AG$6:$AG$177,"&gt;"&amp;AG59)+COUNTIFS(AG$6:AG59,"="&amp;AG59)))</f>
        <v>45</v>
      </c>
      <c r="F59" s="19" t="s">
        <v>49</v>
      </c>
      <c r="G59" s="107">
        <f>IFERROR(IF(VLOOKUP(F59,Lookups!$A$2:$F$111,2,FALSE)="","",VLOOKUP(F59,Lookups!$A$2:$F$111,2,FALSE)),"")</f>
        <v>1884</v>
      </c>
      <c r="H59" s="107" t="str">
        <f>IFERROR(IF(VLOOKUP(F59,Lookups!$A$2:$F$111,3,FALSE)="","",VLOOKUP(F59,Lookups!$A$2:$F$111,3,FALSE)),"")</f>
        <v>B</v>
      </c>
      <c r="I59" s="107" t="str">
        <f>IFERROR(IF(AF59=0,"",VLOOKUP(AF59,Lookups!$K$2:$L$6,2,TRUE)),"")</f>
        <v>B</v>
      </c>
      <c r="J59" s="107" t="str">
        <f>IF(AD59&lt;Lookups!$I$5,"Y","N")</f>
        <v>Y</v>
      </c>
      <c r="K59" s="107" t="str">
        <f>IFERROR(IF(VLOOKUP(F59,Lookups!$A$2:$F$111,4,FALSE)="","",VLOOKUP(F59,Lookups!$A$2:$F$111,4,FALSE)),"")</f>
        <v>PCP</v>
      </c>
      <c r="L59" s="107" t="str">
        <f>IFERROR(IF(VLOOKUP(F59,Lookups!$A$2:$F$111,5,FALSE)="","",VLOOKUP(F59,Lookups!$A$2:$F$111,5,FALSE)),"")</f>
        <v>Buccaneers</v>
      </c>
      <c r="M59" s="108" t="str">
        <f>IFERROR(IF(VLOOKUP(F59,Lookups!$A$2:$F$111,6,FALSE)="","",VLOOKUP(F59,Lookups!$A$2:$F$111,6,FALSE)),"")</f>
        <v>Buccaneers</v>
      </c>
      <c r="N59" s="57">
        <f>IFERROR(IF(VLOOKUP(F59,Scores!$A$1:$I$99,2,FALSE)="","",VLOOKUP(F59,Scores!$A$1:$I$99,2,FALSE)),"")</f>
        <v>23</v>
      </c>
      <c r="O59" s="58" t="str">
        <f>IFERROR(IF(VLOOKUP(F59,Scores!$A$1:$I$99,3,FALSE)="","",VLOOKUP(F59,Scores!$A$1:$I$99,3,FALSE)),"")</f>
        <v/>
      </c>
      <c r="P59" s="58" t="str">
        <f>IFERROR(IF(VLOOKUP(F59,Scores!$A$1:$I$99,4,FALSE)="","",VLOOKUP(F59,Scores!$A$1:$I$99,4,FALSE)),"")</f>
        <v/>
      </c>
      <c r="Q59" s="58" t="str">
        <f>IFERROR(IF(VLOOKUP(F59,Scores!$A$1:$I$99,5,FALSE)="","",VLOOKUP(F59,Scores!$A$1:$I$99,5,FALSE)),"")</f>
        <v/>
      </c>
      <c r="R59" s="58" t="str">
        <f>IFERROR(IF(VLOOKUP(F59,Scores!$A$1:$I$99,6,FALSE)="","",VLOOKUP(F59,Scores!$A$1:$I$99,6,FALSE)),"")</f>
        <v/>
      </c>
      <c r="S59" s="58" t="str">
        <f>IFERROR(IF(VLOOKUP(F59,Scores!$A$1:$I$99,7,FALSE)="","",VLOOKUP(F59,Scores!$A$1:$I$99,7,FALSE)),"")</f>
        <v/>
      </c>
      <c r="T59" s="58" t="str">
        <f>IFERROR(IF(VLOOKUP(F59,Scores!$A$1:$I$99,8,FALSE)="","",VLOOKUP(F59,Scores!$A$1:$I$99,8,FALSE)),"")</f>
        <v/>
      </c>
      <c r="U59" s="60" t="str">
        <f>IFERROR(IF(VLOOKUP(F59,Scores!$A$1:$I$99,9,FALSE)="","",VLOOKUP(F59,Scores!$A$1:$I$99,9,FALSE)),"")</f>
        <v/>
      </c>
      <c r="V59" s="54">
        <f t="shared" si="28"/>
        <v>0.6216216216216216</v>
      </c>
      <c r="W59" s="55" t="str">
        <f t="shared" si="29"/>
        <v/>
      </c>
      <c r="X59" s="55" t="str">
        <f t="shared" si="30"/>
        <v/>
      </c>
      <c r="Y59" s="55" t="str">
        <f t="shared" si="31"/>
        <v/>
      </c>
      <c r="Z59" s="55" t="str">
        <f t="shared" si="32"/>
        <v/>
      </c>
      <c r="AA59" s="55" t="str">
        <f t="shared" si="33"/>
        <v/>
      </c>
      <c r="AB59" s="55" t="str">
        <f t="shared" si="34"/>
        <v/>
      </c>
      <c r="AC59" s="56" t="str">
        <f t="shared" si="35"/>
        <v/>
      </c>
      <c r="AD59" s="79">
        <f t="shared" si="25"/>
        <v>1</v>
      </c>
      <c r="AE59" s="59">
        <f t="shared" si="26"/>
        <v>0.6216216216216216</v>
      </c>
      <c r="AF59" s="55" cm="1">
        <f t="array" ref="AF59">IFERROR(IF(AD59&gt;Lookups!$I$5-1,AVERAGE(LARGE(V59:AC59,_xlfn.SEQUENCE(Lookups!$I$5))),AVERAGE(LARGE(V59:AC59,_xlfn.SEQUENCE(AD59)))),"")</f>
        <v>0.6216216216216216</v>
      </c>
      <c r="AG59" s="124">
        <f t="shared" si="27"/>
        <v>23</v>
      </c>
      <c r="AH59" s="78" t="str">
        <f>IF(AD59=Lookups!$I$5+1,LARGE(V59:AC59,5),"")</f>
        <v/>
      </c>
      <c r="AI59" s="78" t="str">
        <f>IF(AD59=Lookups!$I$5+2,LARGE(V59:AC59,6),"")</f>
        <v/>
      </c>
      <c r="AJ59" s="78"/>
      <c r="AK59" s="78"/>
      <c r="AL59" s="140">
        <f t="shared" si="11"/>
        <v>43</v>
      </c>
      <c r="AM59" s="134" t="str">
        <f>IF(OR(AD59=0,AD59=""),"",IF(COUNTIFS($AR$6:$AR$177,"&gt;"&amp;AR59)+COUNTIFS(AR$6:AR59,"="&amp;AR59)=0,"",COUNTIFS($AR$6:$AR$177,"&gt;"&amp;AR59)+COUNTIFS(AR$6:AR59,"="&amp;AR59)))</f>
        <v/>
      </c>
      <c r="AN59" s="134" t="str">
        <f>IFERROR(IF(OR(AD59=0,AD59=""),"",IF(COUNTIFS($AS$6:$AS$177,"&gt;"&amp;AS59)+COUNTIFS(AS$6:AS59,"="&amp;AS59)=0,"",COUNTIFS($AS$6:$AS$177,"&gt;"&amp;AS59)+COUNTIFS(AS$6:AS59,"="&amp;AS59)+$AM$5)),"")</f>
        <v/>
      </c>
      <c r="AO59" s="134" t="str">
        <f>IFERROR(IF(OR(AD59=0,AD59=""),"",IF(COUNTIFS($AT$6:$AT$177,"&gt;"&amp;AT59)+COUNTIFS(AT$6:AT59,"="&amp;AT59)=0,"",COUNTIFS($AT$6:$AT$177,"&gt;"&amp;AT59)+COUNTIFS(AT$6:AT59,"="&amp;AT59)+$AN$5)),"")</f>
        <v/>
      </c>
      <c r="AP59" s="134">
        <f>IFERROR(IF(OR(AD59=0,AD59=""),"",IF(COUNTIFS($AU$6:$AU$177,"&gt;"&amp;AU59)+COUNTIFS(AU$6:AU59,"="&amp;AU59)=0,"",COUNTIFS($AU$6:$AU$177,"&gt;"&amp;AU59)+COUNTIFS(AU$6:AU59,"="&amp;AU59)+$AO$5)),"")</f>
        <v>43</v>
      </c>
      <c r="AQ59" s="134" t="str">
        <f>IFERROR(IF(OR(AD59=0,AD59=""),"",IF(COUNTIFS($AV$6:$AV$177,"&gt;"&amp;AV59)+COUNTIFS(AV$6:AV59,"="&amp;AV59)=0,"",COUNTIFS($AV$6:$AV$177,"&gt;"&amp;AV59)+COUNTIFS(AV$6:AV59,"="&amp;AV59)+$AP$5)),"")</f>
        <v/>
      </c>
      <c r="AR59" s="78" t="str">
        <f t="shared" si="12"/>
        <v/>
      </c>
      <c r="AS59" s="78" t="str">
        <f t="shared" si="13"/>
        <v/>
      </c>
      <c r="AT59" s="78" t="str">
        <f t="shared" si="14"/>
        <v/>
      </c>
      <c r="AU59" s="78">
        <f t="shared" si="15"/>
        <v>0.6216216216216216</v>
      </c>
      <c r="AV59" s="78" t="str">
        <f t="shared" si="16"/>
        <v/>
      </c>
    </row>
    <row r="60" spans="1:48" ht="16.5" customHeight="1" x14ac:dyDescent="0.3">
      <c r="A60">
        <f>IF(AD60="","",COUNTIFS($H$6:$H$120,H60,$AF$6:$AF$120,"&gt;"&amp;AF60)+COUNTIFS(H60:$H$120,H60,AF60:$AF$120,AF60))</f>
        <v>6</v>
      </c>
      <c r="C60">
        <f t="shared" si="10"/>
        <v>19</v>
      </c>
      <c r="D60">
        <f>IF(AG60=0,"",IF(COUNTIFS($AG$6:$AG$177,"&gt;"&amp;AG60)+COUNTIFS(AG$6:AG60,"="&amp;AG60)=0,"",COUNTIFS($AG$6:$AG$177,"&gt;"&amp;AG60)+COUNTIFS(AG$6:AG60,"="&amp;AG60)))</f>
        <v>14</v>
      </c>
      <c r="F60" s="19" t="s">
        <v>56</v>
      </c>
      <c r="G60" s="107">
        <f>IFERROR(IF(VLOOKUP(F60,Lookups!$A$2:$F$111,2,FALSE)="","",VLOOKUP(F60,Lookups!$A$2:$F$111,2,FALSE)),"")</f>
        <v>1885</v>
      </c>
      <c r="H60" s="107" t="str">
        <f>IFERROR(IF(VLOOKUP(F60,Lookups!$A$2:$F$111,3,FALSE)="","",VLOOKUP(F60,Lookups!$A$2:$F$111,3,FALSE)),"")</f>
        <v>B</v>
      </c>
      <c r="I60" s="107" t="str">
        <f>IFERROR(IF(AF60=0,"",VLOOKUP(AF60,Lookups!$K$2:$L$6,2,TRUE)),"")</f>
        <v>B</v>
      </c>
      <c r="J60" s="107" t="str">
        <f>IF(AD60&lt;Lookups!$I$5,"Y","N")</f>
        <v>N</v>
      </c>
      <c r="K60" s="107" t="str">
        <f>IFERROR(IF(VLOOKUP(F60,Lookups!$A$2:$F$111,4,FALSE)="","",VLOOKUP(F60,Lookups!$A$2:$F$111,4,FALSE)),"")</f>
        <v>PCP</v>
      </c>
      <c r="L60" s="107" t="str">
        <f>IFERROR(IF(VLOOKUP(F60,Lookups!$A$2:$F$111,5,FALSE)="","",VLOOKUP(F60,Lookups!$A$2:$F$111,5,FALSE)),"")</f>
        <v>Buccaneers</v>
      </c>
      <c r="M60" s="108" t="str">
        <f>IFERROR(IF(VLOOKUP(F60,Lookups!$A$2:$F$111,6,FALSE)="","",VLOOKUP(F60,Lookups!$A$2:$F$111,6,FALSE)),"")</f>
        <v>Buccaneers</v>
      </c>
      <c r="N60" s="57">
        <f>IFERROR(IF(VLOOKUP(F60,Scores!$A$1:$I$99,2,FALSE)="","",VLOOKUP(F60,Scores!$A$1:$I$99,2,FALSE)),"")</f>
        <v>30</v>
      </c>
      <c r="O60" s="58">
        <f>IFERROR(IF(VLOOKUP(F60,Scores!$A$1:$I$99,3,FALSE)="","",VLOOKUP(F60,Scores!$A$1:$I$99,3,FALSE)),"")</f>
        <v>22</v>
      </c>
      <c r="P60" s="58">
        <f>IFERROR(IF(VLOOKUP(F60,Scores!$A$1:$I$99,4,FALSE)="","",VLOOKUP(F60,Scores!$A$1:$I$99,4,FALSE)),"")</f>
        <v>29</v>
      </c>
      <c r="Q60" s="58">
        <f>IFERROR(IF(VLOOKUP(F60,Scores!$A$1:$I$99,5,FALSE)="","",VLOOKUP(F60,Scores!$A$1:$I$99,5,FALSE)),"")</f>
        <v>26</v>
      </c>
      <c r="R60" s="58">
        <f>IFERROR(IF(VLOOKUP(F60,Scores!$A$1:$I$99,6,FALSE)="","",VLOOKUP(F60,Scores!$A$1:$I$99,6,FALSE)),"")</f>
        <v>22</v>
      </c>
      <c r="S60" s="58">
        <f>IFERROR(IF(VLOOKUP(F60,Scores!$A$1:$I$99,7,FALSE)="","",VLOOKUP(F60,Scores!$A$1:$I$99,7,FALSE)),"")</f>
        <v>20</v>
      </c>
      <c r="T60" s="58" t="str">
        <f>IFERROR(IF(VLOOKUP(F60,Scores!$A$1:$I$99,8,FALSE)="","",VLOOKUP(F60,Scores!$A$1:$I$99,8,FALSE)),"")</f>
        <v/>
      </c>
      <c r="U60" s="60" t="str">
        <f>IFERROR(IF(VLOOKUP(F60,Scores!$A$1:$I$99,9,FALSE)="","",VLOOKUP(F60,Scores!$A$1:$I$99,9,FALSE)),"")</f>
        <v/>
      </c>
      <c r="V60" s="54">
        <f t="shared" si="28"/>
        <v>0.81081081081081086</v>
      </c>
      <c r="W60" s="55">
        <f t="shared" si="29"/>
        <v>0.70967741935483875</v>
      </c>
      <c r="X60" s="55">
        <f t="shared" si="30"/>
        <v>0.78378378378378377</v>
      </c>
      <c r="Y60" s="55">
        <f t="shared" si="31"/>
        <v>0.72222222222222221</v>
      </c>
      <c r="Z60" s="55">
        <f t="shared" si="32"/>
        <v>0.57894736842105265</v>
      </c>
      <c r="AA60" s="55">
        <f t="shared" si="33"/>
        <v>0.54054054054054057</v>
      </c>
      <c r="AB60" s="55" t="str">
        <f t="shared" si="34"/>
        <v/>
      </c>
      <c r="AC60" s="56" t="str">
        <f t="shared" si="35"/>
        <v/>
      </c>
      <c r="AD60" s="79">
        <f t="shared" si="25"/>
        <v>6</v>
      </c>
      <c r="AE60" s="59">
        <f t="shared" si="26"/>
        <v>0.69099702418887476</v>
      </c>
      <c r="AF60" s="55" cm="1">
        <f t="array" ref="AF60">IFERROR(IF(AD60&gt;Lookups!$I$5-1,AVERAGE(LARGE(V60:AC60,_xlfn.SEQUENCE(Lookups!$I$5))),AVERAGE(LARGE(V60:AC60,_xlfn.SEQUENCE(AD60)))),"")</f>
        <v>0.75662355904291401</v>
      </c>
      <c r="AG60" s="124">
        <f t="shared" si="27"/>
        <v>149</v>
      </c>
      <c r="AH60" s="78" t="str">
        <f>IF(AD60=Lookups!$I$5+1,LARGE(V60:AC60,5),"")</f>
        <v/>
      </c>
      <c r="AI60" s="78">
        <f>IF(AD60=Lookups!$I$5+2,LARGE(V60:AC60,6),"")</f>
        <v>0.54054054054054057</v>
      </c>
      <c r="AJ60" s="78"/>
      <c r="AK60" s="78"/>
      <c r="AL60" s="140">
        <f t="shared" si="11"/>
        <v>19</v>
      </c>
      <c r="AM60" s="134">
        <f>IF(OR(AD60=0,AD60=""),"",IF(COUNTIFS($AR$6:$AR$177,"&gt;"&amp;AR60)+COUNTIFS(AR$6:AR60,"="&amp;AR60)=0,"",COUNTIFS($AR$6:$AR$177,"&gt;"&amp;AR60)+COUNTIFS(AR$6:AR60,"="&amp;AR60)))</f>
        <v>19</v>
      </c>
      <c r="AN60" s="134" t="str">
        <f>IFERROR(IF(OR(AD60=0,AD60=""),"",IF(COUNTIFS($AS$6:$AS$177,"&gt;"&amp;AS60)+COUNTIFS(AS$6:AS60,"="&amp;AS60)=0,"",COUNTIFS($AS$6:$AS$177,"&gt;"&amp;AS60)+COUNTIFS(AS$6:AS60,"="&amp;AS60)+$AM$5)),"")</f>
        <v/>
      </c>
      <c r="AO60" s="134" t="str">
        <f>IFERROR(IF(OR(AD60=0,AD60=""),"",IF(COUNTIFS($AT$6:$AT$177,"&gt;"&amp;AT60)+COUNTIFS(AT$6:AT60,"="&amp;AT60)=0,"",COUNTIFS($AT$6:$AT$177,"&gt;"&amp;AT60)+COUNTIFS(AT$6:AT60,"="&amp;AT60)+$AN$5)),"")</f>
        <v/>
      </c>
      <c r="AP60" s="134" t="str">
        <f>IFERROR(IF(OR(AD60=0,AD60=""),"",IF(COUNTIFS($AU$6:$AU$177,"&gt;"&amp;AU60)+COUNTIFS(AU$6:AU60,"="&amp;AU60)=0,"",COUNTIFS($AU$6:$AU$177,"&gt;"&amp;AU60)+COUNTIFS(AU$6:AU60,"="&amp;AU60)+$AO$5)),"")</f>
        <v/>
      </c>
      <c r="AQ60" s="134" t="str">
        <f>IFERROR(IF(OR(AD60=0,AD60=""),"",IF(COUNTIFS($AV$6:$AV$177,"&gt;"&amp;AV60)+COUNTIFS(AV$6:AV60,"="&amp;AV60)=0,"",COUNTIFS($AV$6:$AV$177,"&gt;"&amp;AV60)+COUNTIFS(AV$6:AV60,"="&amp;AV60)+$AP$5)),"")</f>
        <v/>
      </c>
      <c r="AR60" s="78">
        <f t="shared" si="12"/>
        <v>0.75662355904291401</v>
      </c>
      <c r="AS60" s="78" t="str">
        <f t="shared" si="13"/>
        <v/>
      </c>
      <c r="AT60" s="78" t="str">
        <f t="shared" si="14"/>
        <v/>
      </c>
      <c r="AU60" s="78" t="str">
        <f t="shared" si="15"/>
        <v/>
      </c>
      <c r="AV60" s="78" t="str">
        <f t="shared" si="16"/>
        <v/>
      </c>
    </row>
    <row r="61" spans="1:48" ht="16.5" customHeight="1" x14ac:dyDescent="0.3">
      <c r="A61">
        <f>IF(AD61="","",COUNTIFS($H$6:$H$120,H61,$AF$6:$AF$120,"&gt;"&amp;AF61)+COUNTIFS(H61:$H$120,H61,AF61:$AF$120,AF61))</f>
        <v>2</v>
      </c>
      <c r="C61">
        <f t="shared" si="10"/>
        <v>11</v>
      </c>
      <c r="D61">
        <f>IF(AG61=0,"",IF(COUNTIFS($AG$6:$AG$177,"&gt;"&amp;AG61)+COUNTIFS(AG$6:AG61,"="&amp;AG61)=0,"",COUNTIFS($AG$6:$AG$177,"&gt;"&amp;AG61)+COUNTIFS(AG$6:AG61,"="&amp;AG61)))</f>
        <v>15</v>
      </c>
      <c r="F61" s="21" t="s">
        <v>59</v>
      </c>
      <c r="G61" s="107">
        <f>IFERROR(IF(VLOOKUP(F61,Lookups!$A$2:$F$111,2,FALSE)="","",VLOOKUP(F61,Lookups!$A$2:$F$111,2,FALSE)),"")</f>
        <v>1918</v>
      </c>
      <c r="H61" s="107" t="str">
        <f>IFERROR(IF(VLOOKUP(F61,Lookups!$A$2:$F$111,3,FALSE)="","",VLOOKUP(F61,Lookups!$A$2:$F$111,3,FALSE)),"")</f>
        <v>B</v>
      </c>
      <c r="I61" s="107" t="str">
        <f>IFERROR(IF(AF61=0,"",VLOOKUP(AF61,Lookups!$K$2:$L$6,2,TRUE)),"")</f>
        <v>A</v>
      </c>
      <c r="J61" s="107" t="str">
        <f>IF(AD61&lt;Lookups!$I$5,"Y","N")</f>
        <v>N</v>
      </c>
      <c r="K61" s="107" t="str">
        <f>IFERROR(IF(VLOOKUP(F61,Lookups!$A$2:$F$111,4,FALSE)="","",VLOOKUP(F61,Lookups!$A$2:$F$111,4,FALSE)),"")</f>
        <v>PCP</v>
      </c>
      <c r="L61" s="107" t="str">
        <f>IFERROR(IF(VLOOKUP(F61,Lookups!$A$2:$F$111,5,FALSE)="","",VLOOKUP(F61,Lookups!$A$2:$F$111,5,FALSE)),"")</f>
        <v>Carisbrooke</v>
      </c>
      <c r="M61" s="108" t="str">
        <f>IFERROR(IF(VLOOKUP(F61,Lookups!$A$2:$F$111,6,FALSE)="","",VLOOKUP(F61,Lookups!$A$2:$F$111,6,FALSE)),"")</f>
        <v>Carisbrooke TRex's</v>
      </c>
      <c r="N61" s="57" t="str">
        <f>IFERROR(IF(VLOOKUP(F61,Scores!$A$1:$I$99,2,FALSE)="","",VLOOKUP(F61,Scores!$A$1:$I$99,2,FALSE)),"")</f>
        <v/>
      </c>
      <c r="O61" s="58">
        <f>IFERROR(IF(VLOOKUP(F61,Scores!$A$1:$I$99,3,FALSE)="","",VLOOKUP(F61,Scores!$A$1:$I$99,3,FALSE)),"")</f>
        <v>25</v>
      </c>
      <c r="P61" s="58">
        <f>IFERROR(IF(VLOOKUP(F61,Scores!$A$1:$I$99,4,FALSE)="","",VLOOKUP(F61,Scores!$A$1:$I$99,4,FALSE)),"")</f>
        <v>29</v>
      </c>
      <c r="Q61" s="58">
        <f>IFERROR(IF(VLOOKUP(F61,Scores!$A$1:$I$99,5,FALSE)="","",VLOOKUP(F61,Scores!$A$1:$I$99,5,FALSE)),"")</f>
        <v>26</v>
      </c>
      <c r="R61" s="58">
        <f>IFERROR(IF(VLOOKUP(F61,Scores!$A$1:$I$99,6,FALSE)="","",VLOOKUP(F61,Scores!$A$1:$I$99,6,FALSE)),"")</f>
        <v>34</v>
      </c>
      <c r="S61" s="58">
        <f>IFERROR(IF(VLOOKUP(F61,Scores!$A$1:$I$99,7,FALSE)="","",VLOOKUP(F61,Scores!$A$1:$I$99,7,FALSE)),"")</f>
        <v>29</v>
      </c>
      <c r="T61" s="58" t="str">
        <f>IFERROR(IF(VLOOKUP(F61,Scores!$A$1:$I$99,8,FALSE)="","",VLOOKUP(F61,Scores!$A$1:$I$99,8,FALSE)),"")</f>
        <v/>
      </c>
      <c r="U61" s="60" t="str">
        <f>IFERROR(IF(VLOOKUP(F61,Scores!$A$1:$I$99,9,FALSE)="","",VLOOKUP(F61,Scores!$A$1:$I$99,9,FALSE)),"")</f>
        <v/>
      </c>
      <c r="V61" s="54" t="str">
        <f t="shared" si="28"/>
        <v/>
      </c>
      <c r="W61" s="55">
        <f t="shared" si="29"/>
        <v>0.80645161290322576</v>
      </c>
      <c r="X61" s="55">
        <f t="shared" si="30"/>
        <v>0.78378378378378377</v>
      </c>
      <c r="Y61" s="55">
        <f t="shared" si="31"/>
        <v>0.72222222222222221</v>
      </c>
      <c r="Z61" s="55">
        <f t="shared" si="32"/>
        <v>0.89473684210526316</v>
      </c>
      <c r="AA61" s="55">
        <f t="shared" si="33"/>
        <v>0.78378378378378377</v>
      </c>
      <c r="AB61" s="55" t="str">
        <f t="shared" si="34"/>
        <v/>
      </c>
      <c r="AC61" s="56" t="str">
        <f t="shared" si="35"/>
        <v/>
      </c>
      <c r="AD61" s="79">
        <f t="shared" si="25"/>
        <v>5</v>
      </c>
      <c r="AE61" s="59">
        <f t="shared" si="26"/>
        <v>0.79819564895965578</v>
      </c>
      <c r="AF61" s="55" cm="1">
        <f t="array" ref="AF61">IFERROR(IF(AD61&gt;Lookups!$I$5-1,AVERAGE(LARGE(V61:AC61,_xlfn.SEQUENCE(Lookups!$I$5))),AVERAGE(LARGE(V61:AC61,_xlfn.SEQUENCE(AD61)))),"")</f>
        <v>0.81718900564401409</v>
      </c>
      <c r="AG61" s="124">
        <f t="shared" si="27"/>
        <v>143</v>
      </c>
      <c r="AH61" s="78">
        <f>IF(AD61=Lookups!$I$5+1,LARGE(V61:AC61,5),"")</f>
        <v>0.72222222222222221</v>
      </c>
      <c r="AI61" s="78" t="str">
        <f>IF(AD61=Lookups!$I$5+2,LARGE(V61:AC61,6),"")</f>
        <v/>
      </c>
      <c r="AJ61" s="78"/>
      <c r="AK61" s="78"/>
      <c r="AL61" s="140">
        <f t="shared" si="11"/>
        <v>11</v>
      </c>
      <c r="AM61" s="134">
        <f>IF(OR(AD61=0,AD61=""),"",IF(COUNTIFS($AR$6:$AR$177,"&gt;"&amp;AR61)+COUNTIFS(AR$6:AR61,"="&amp;AR61)=0,"",COUNTIFS($AR$6:$AR$177,"&gt;"&amp;AR61)+COUNTIFS(AR$6:AR61,"="&amp;AR61)))</f>
        <v>11</v>
      </c>
      <c r="AN61" s="134" t="str">
        <f>IFERROR(IF(OR(AD61=0,AD61=""),"",IF(COUNTIFS($AS$6:$AS$177,"&gt;"&amp;AS61)+COUNTIFS(AS$6:AS61,"="&amp;AS61)=0,"",COUNTIFS($AS$6:$AS$177,"&gt;"&amp;AS61)+COUNTIFS(AS$6:AS61,"="&amp;AS61)+$AM$5)),"")</f>
        <v/>
      </c>
      <c r="AO61" s="134" t="str">
        <f>IFERROR(IF(OR(AD61=0,AD61=""),"",IF(COUNTIFS($AT$6:$AT$177,"&gt;"&amp;AT61)+COUNTIFS(AT$6:AT61,"="&amp;AT61)=0,"",COUNTIFS($AT$6:$AT$177,"&gt;"&amp;AT61)+COUNTIFS(AT$6:AT61,"="&amp;AT61)+$AN$5)),"")</f>
        <v/>
      </c>
      <c r="AP61" s="134" t="str">
        <f>IFERROR(IF(OR(AD61=0,AD61=""),"",IF(COUNTIFS($AU$6:$AU$177,"&gt;"&amp;AU61)+COUNTIFS(AU$6:AU61,"="&amp;AU61)=0,"",COUNTIFS($AU$6:$AU$177,"&gt;"&amp;AU61)+COUNTIFS(AU$6:AU61,"="&amp;AU61)+$AO$5)),"")</f>
        <v/>
      </c>
      <c r="AQ61" s="134" t="str">
        <f>IFERROR(IF(OR(AD61=0,AD61=""),"",IF(COUNTIFS($AV$6:$AV$177,"&gt;"&amp;AV61)+COUNTIFS(AV$6:AV61,"="&amp;AV61)=0,"",COUNTIFS($AV$6:$AV$177,"&gt;"&amp;AV61)+COUNTIFS(AV$6:AV61,"="&amp;AV61)+$AP$5)),"")</f>
        <v/>
      </c>
      <c r="AR61" s="78">
        <f t="shared" si="12"/>
        <v>0.81718900564401409</v>
      </c>
      <c r="AS61" s="78" t="str">
        <f t="shared" si="13"/>
        <v/>
      </c>
      <c r="AT61" s="78" t="str">
        <f t="shared" si="14"/>
        <v/>
      </c>
      <c r="AU61" s="78" t="str">
        <f t="shared" si="15"/>
        <v/>
      </c>
      <c r="AV61" s="78" t="str">
        <f t="shared" si="16"/>
        <v/>
      </c>
    </row>
    <row r="62" spans="1:48" ht="16.5" customHeight="1" x14ac:dyDescent="0.3">
      <c r="A62" t="str">
        <f>IF(AD62="","",COUNTIFS($H$6:$H$120,H62,$AF$6:$AF$120,"&gt;"&amp;AF62)+COUNTIFS(H62:$H$120,H62,AF62:$AF$120,AF62))</f>
        <v/>
      </c>
      <c r="C62" t="str">
        <f t="shared" si="10"/>
        <v/>
      </c>
      <c r="D62" t="str">
        <f>IF(AG62=0,"",IF(COUNTIFS($AG$6:$AG$177,"&gt;"&amp;AG62)+COUNTIFS(AG$6:AG62,"="&amp;AG62)=0,"",COUNTIFS($AG$6:$AG$177,"&gt;"&amp;AG62)+COUNTIFS(AG$6:AG62,"="&amp;AG62)))</f>
        <v/>
      </c>
      <c r="F62" s="19"/>
      <c r="G62" s="107" t="str">
        <f>IFERROR(IF(VLOOKUP(F62,Lookups!$A$2:$F$111,2,FALSE)="","",VLOOKUP(F62,Lookups!$A$2:$F$111,2,FALSE)),"")</f>
        <v/>
      </c>
      <c r="H62" s="107" t="str">
        <f>IFERROR(IF(VLOOKUP(F62,Lookups!$A$2:$F$111,3,FALSE)="","",VLOOKUP(F62,Lookups!$A$2:$F$111,3,FALSE)),"")</f>
        <v/>
      </c>
      <c r="I62" s="107" t="str">
        <f>IFERROR(IF(AF62=0,"",VLOOKUP(AF62,Lookups!$K$2:$L$6,2,TRUE)),"")</f>
        <v/>
      </c>
      <c r="J62" s="107" t="str">
        <f>IF(AD62&lt;Lookups!$I$5,"Y","N")</f>
        <v>N</v>
      </c>
      <c r="K62" s="107" t="str">
        <f>IFERROR(IF(VLOOKUP(F62,Lookups!$A$2:$F$111,4,FALSE)="","",VLOOKUP(F62,Lookups!$A$2:$F$111,4,FALSE)),"")</f>
        <v/>
      </c>
      <c r="L62" s="107" t="str">
        <f>IFERROR(IF(VLOOKUP(F62,Lookups!$A$2:$F$111,5,FALSE)="","",VLOOKUP(F62,Lookups!$A$2:$F$111,5,FALSE)),"")</f>
        <v/>
      </c>
      <c r="M62" s="108" t="str">
        <f>IFERROR(IF(VLOOKUP(F62,Lookups!$A$2:$F$111,6,FALSE)="","",VLOOKUP(F62,Lookups!$A$2:$F$111,6,FALSE)),"")</f>
        <v/>
      </c>
      <c r="N62" s="57" t="str">
        <f>IFERROR(IF(VLOOKUP(F62,Scores!$A$1:$I$99,2,FALSE)="","",VLOOKUP(F62,Scores!$A$1:$I$99,2,FALSE)),"")</f>
        <v/>
      </c>
      <c r="O62" s="58" t="str">
        <f>IFERROR(IF(VLOOKUP(F62,Scores!$A$1:$I$99,3,FALSE)="","",VLOOKUP(F62,Scores!$A$1:$I$99,3,FALSE)),"")</f>
        <v/>
      </c>
      <c r="P62" s="58" t="str">
        <f>IFERROR(IF(VLOOKUP(F62,Scores!$A$1:$I$99,4,FALSE)="","",VLOOKUP(F62,Scores!$A$1:$I$99,4,FALSE)),"")</f>
        <v/>
      </c>
      <c r="Q62" s="58" t="str">
        <f>IFERROR(IF(VLOOKUP(F62,Scores!$A$1:$I$99,5,FALSE)="","",VLOOKUP(F62,Scores!$A$1:$I$99,5,FALSE)),"")</f>
        <v/>
      </c>
      <c r="R62" s="58" t="str">
        <f>IFERROR(IF(VLOOKUP(F62,Scores!$A$1:$I$99,6,FALSE)="","",VLOOKUP(F62,Scores!$A$1:$I$99,6,FALSE)),"")</f>
        <v/>
      </c>
      <c r="S62" s="58" t="str">
        <f>IFERROR(IF(VLOOKUP(F62,Scores!$A$1:$I$99,7,FALSE)="","",VLOOKUP(F62,Scores!$A$1:$I$99,7,FALSE)),"")</f>
        <v/>
      </c>
      <c r="T62" s="58" t="str">
        <f>IFERROR(IF(VLOOKUP(F62,Scores!$A$1:$I$99,8,FALSE)="","",VLOOKUP(F62,Scores!$A$1:$I$99,8,FALSE)),"")</f>
        <v/>
      </c>
      <c r="U62" s="60" t="str">
        <f>IFERROR(IF(VLOOKUP(F62,Scores!$A$1:$I$99,9,FALSE)="","",VLOOKUP(F62,Scores!$A$1:$I$99,9,FALSE)),"")</f>
        <v/>
      </c>
      <c r="V62" s="54" t="str">
        <f t="shared" si="28"/>
        <v/>
      </c>
      <c r="W62" s="55" t="str">
        <f t="shared" si="29"/>
        <v/>
      </c>
      <c r="X62" s="55" t="str">
        <f t="shared" si="30"/>
        <v/>
      </c>
      <c r="Y62" s="55" t="str">
        <f t="shared" si="31"/>
        <v/>
      </c>
      <c r="Z62" s="55" t="str">
        <f t="shared" si="32"/>
        <v/>
      </c>
      <c r="AA62" s="55" t="str">
        <f t="shared" si="33"/>
        <v/>
      </c>
      <c r="AB62" s="55" t="str">
        <f t="shared" si="34"/>
        <v/>
      </c>
      <c r="AC62" s="56" t="str">
        <f t="shared" si="35"/>
        <v/>
      </c>
      <c r="AD62" s="79" t="str">
        <f t="shared" si="25"/>
        <v/>
      </c>
      <c r="AE62" s="59" t="str">
        <f t="shared" si="26"/>
        <v/>
      </c>
      <c r="AF62" s="55" t="str" cm="1">
        <f t="array" ref="AF62">IFERROR(IF(AD62&gt;Lookups!$I$5-1,AVERAGE(LARGE(V62:AC62,_xlfn.SEQUENCE(Lookups!$I$5))),AVERAGE(LARGE(V62:AC62,_xlfn.SEQUENCE(AD62)))),"")</f>
        <v/>
      </c>
      <c r="AG62" s="124" t="str">
        <f t="shared" si="27"/>
        <v/>
      </c>
      <c r="AH62" s="78" t="str">
        <f>IF(AD62=Lookups!$I$5+1,LARGE(V62:AC62,5),"")</f>
        <v/>
      </c>
      <c r="AI62" s="78" t="str">
        <f>IF(AD62=Lookups!$I$5+2,LARGE(V62:AC62,6),"")</f>
        <v/>
      </c>
      <c r="AJ62" s="78"/>
      <c r="AK62" s="78"/>
      <c r="AL62" s="140" t="str">
        <f t="shared" si="11"/>
        <v/>
      </c>
      <c r="AM62" s="134" t="str">
        <f>IF(OR(AD62=0,AD62=""),"",IF(COUNTIFS($AR$6:$AR$177,"&gt;"&amp;AR62)+COUNTIFS(AR$6:AR62,"="&amp;AR62)=0,"",COUNTIFS($AR$6:$AR$177,"&gt;"&amp;AR62)+COUNTIFS(AR$6:AR62,"="&amp;AR62)))</f>
        <v/>
      </c>
      <c r="AN62" s="134" t="str">
        <f>IFERROR(IF(OR(AD62=0,AD62=""),"",IF(COUNTIFS($AS$6:$AS$177,"&gt;"&amp;AS62)+COUNTIFS(AS$6:AS62,"="&amp;AS62)=0,"",COUNTIFS($AS$6:$AS$177,"&gt;"&amp;AS62)+COUNTIFS(AS$6:AS62,"="&amp;AS62)+$AM$5)),"")</f>
        <v/>
      </c>
      <c r="AO62" s="134" t="str">
        <f>IFERROR(IF(OR(AD62=0,AD62=""),"",IF(COUNTIFS($AT$6:$AT$177,"&gt;"&amp;AT62)+COUNTIFS(AT$6:AT62,"="&amp;AT62)=0,"",COUNTIFS($AT$6:$AT$177,"&gt;"&amp;AT62)+COUNTIFS(AT$6:AT62,"="&amp;AT62)+$AN$5)),"")</f>
        <v/>
      </c>
      <c r="AP62" s="134" t="str">
        <f>IFERROR(IF(OR(AD62=0,AD62=""),"",IF(COUNTIFS($AU$6:$AU$177,"&gt;"&amp;AU62)+COUNTIFS(AU$6:AU62,"="&amp;AU62)=0,"",COUNTIFS($AU$6:$AU$177,"&gt;"&amp;AU62)+COUNTIFS(AU$6:AU62,"="&amp;AU62)+$AO$5)),"")</f>
        <v/>
      </c>
      <c r="AQ62" s="134" t="str">
        <f>IFERROR(IF(OR(AD62=0,AD62=""),"",IF(COUNTIFS($AV$6:$AV$177,"&gt;"&amp;AV62)+COUNTIFS(AV$6:AV62,"="&amp;AV62)=0,"",COUNTIFS($AV$6:$AV$177,"&gt;"&amp;AV62)+COUNTIFS(AV$6:AV62,"="&amp;AV62)+$AP$5)),"")</f>
        <v/>
      </c>
      <c r="AR62" s="78" t="str">
        <f t="shared" si="12"/>
        <v/>
      </c>
      <c r="AS62" s="78" t="str">
        <f t="shared" si="13"/>
        <v/>
      </c>
      <c r="AT62" s="78" t="str">
        <f t="shared" si="14"/>
        <v/>
      </c>
      <c r="AU62" s="78" t="str">
        <f t="shared" si="15"/>
        <v/>
      </c>
      <c r="AV62" s="78" t="str">
        <f t="shared" si="16"/>
        <v/>
      </c>
    </row>
    <row r="63" spans="1:48" ht="16.5" customHeight="1" x14ac:dyDescent="0.3">
      <c r="A63" t="str">
        <f>IF(AD63="","",COUNTIFS($H$6:$H$120,H63,$AF$6:$AF$120,"&gt;"&amp;AF63)+COUNTIFS(H63:$H$120,H63,AF63:$AF$120,AF63))</f>
        <v/>
      </c>
      <c r="C63" t="str">
        <f t="shared" si="10"/>
        <v/>
      </c>
      <c r="D63" t="str">
        <f>IF(AG63=0,"",IF(COUNTIFS($AG$6:$AG$177,"&gt;"&amp;AG63)+COUNTIFS(AG$6:AG63,"="&amp;AG63)=0,"",COUNTIFS($AG$6:$AG$177,"&gt;"&amp;AG63)+COUNTIFS(AG$6:AG63,"="&amp;AG63)))</f>
        <v/>
      </c>
      <c r="F63" s="19"/>
      <c r="G63" s="107" t="str">
        <f>IFERROR(IF(VLOOKUP(F63,Lookups!$A$2:$F$111,2,FALSE)="","",VLOOKUP(F63,Lookups!$A$2:$F$111,2,FALSE)),"")</f>
        <v/>
      </c>
      <c r="H63" s="107" t="str">
        <f>IFERROR(IF(VLOOKUP(F63,Lookups!$A$2:$F$111,3,FALSE)="","",VLOOKUP(F63,Lookups!$A$2:$F$111,3,FALSE)),"")</f>
        <v/>
      </c>
      <c r="I63" s="107" t="str">
        <f>IFERROR(IF(AF63=0,"",VLOOKUP(AF63,Lookups!$K$2:$L$6,2,TRUE)),"")</f>
        <v/>
      </c>
      <c r="J63" s="107" t="str">
        <f>IF(AD63&lt;Lookups!$I$5,"Y","N")</f>
        <v>N</v>
      </c>
      <c r="K63" s="107" t="str">
        <f>IFERROR(IF(VLOOKUP(F63,Lookups!$A$2:$F$111,4,FALSE)="","",VLOOKUP(F63,Lookups!$A$2:$F$111,4,FALSE)),"")</f>
        <v/>
      </c>
      <c r="L63" s="107" t="str">
        <f>IFERROR(IF(VLOOKUP(F63,Lookups!$A$2:$F$111,5,FALSE)="","",VLOOKUP(F63,Lookups!$A$2:$F$111,5,FALSE)),"")</f>
        <v/>
      </c>
      <c r="M63" s="108" t="str">
        <f>IFERROR(IF(VLOOKUP(F63,Lookups!$A$2:$F$111,6,FALSE)="","",VLOOKUP(F63,Lookups!$A$2:$F$111,6,FALSE)),"")</f>
        <v/>
      </c>
      <c r="N63" s="57" t="str">
        <f>IFERROR(IF(VLOOKUP(F63,Scores!$A$1:$I$99,2,FALSE)="","",VLOOKUP(F63,Scores!$A$1:$I$99,2,FALSE)),"")</f>
        <v/>
      </c>
      <c r="O63" s="58" t="str">
        <f>IFERROR(IF(VLOOKUP(F63,Scores!$A$1:$I$99,3,FALSE)="","",VLOOKUP(F63,Scores!$A$1:$I$99,3,FALSE)),"")</f>
        <v/>
      </c>
      <c r="P63" s="58" t="str">
        <f>IFERROR(IF(VLOOKUP(F63,Scores!$A$1:$I$99,4,FALSE)="","",VLOOKUP(F63,Scores!$A$1:$I$99,4,FALSE)),"")</f>
        <v/>
      </c>
      <c r="Q63" s="58" t="str">
        <f>IFERROR(IF(VLOOKUP(F63,Scores!$A$1:$I$99,5,FALSE)="","",VLOOKUP(F63,Scores!$A$1:$I$99,5,FALSE)),"")</f>
        <v/>
      </c>
      <c r="R63" s="58" t="str">
        <f>IFERROR(IF(VLOOKUP(F63,Scores!$A$1:$I$99,6,FALSE)="","",VLOOKUP(F63,Scores!$A$1:$I$99,6,FALSE)),"")</f>
        <v/>
      </c>
      <c r="S63" s="58" t="str">
        <f>IFERROR(IF(VLOOKUP(F63,Scores!$A$1:$I$99,7,FALSE)="","",VLOOKUP(F63,Scores!$A$1:$I$99,7,FALSE)),"")</f>
        <v/>
      </c>
      <c r="T63" s="58" t="str">
        <f>IFERROR(IF(VLOOKUP(F63,Scores!$A$1:$I$99,8,FALSE)="","",VLOOKUP(F63,Scores!$A$1:$I$99,8,FALSE)),"")</f>
        <v/>
      </c>
      <c r="U63" s="60" t="str">
        <f>IFERROR(IF(VLOOKUP(F63,Scores!$A$1:$I$99,9,FALSE)="","",VLOOKUP(F63,Scores!$A$1:$I$99,9,FALSE)),"")</f>
        <v/>
      </c>
      <c r="V63" s="54" t="str">
        <f t="shared" si="28"/>
        <v/>
      </c>
      <c r="W63" s="55" t="str">
        <f t="shared" si="29"/>
        <v/>
      </c>
      <c r="X63" s="55" t="str">
        <f t="shared" si="30"/>
        <v/>
      </c>
      <c r="Y63" s="55" t="str">
        <f t="shared" si="31"/>
        <v/>
      </c>
      <c r="Z63" s="55" t="str">
        <f t="shared" si="32"/>
        <v/>
      </c>
      <c r="AA63" s="55" t="str">
        <f t="shared" si="33"/>
        <v/>
      </c>
      <c r="AB63" s="55" t="str">
        <f t="shared" si="34"/>
        <v/>
      </c>
      <c r="AC63" s="56" t="str">
        <f t="shared" si="35"/>
        <v/>
      </c>
      <c r="AD63" s="79" t="str">
        <f t="shared" si="25"/>
        <v/>
      </c>
      <c r="AE63" s="59" t="str">
        <f t="shared" si="26"/>
        <v/>
      </c>
      <c r="AF63" s="55" t="str" cm="1">
        <f t="array" ref="AF63">IFERROR(IF(AD63&gt;Lookups!$I$5-1,AVERAGE(LARGE(V63:AC63,_xlfn.SEQUENCE(Lookups!$I$5))),AVERAGE(LARGE(V63:AC63,_xlfn.SEQUENCE(AD63)))),"")</f>
        <v/>
      </c>
      <c r="AG63" s="124" t="str">
        <f t="shared" si="27"/>
        <v/>
      </c>
      <c r="AH63" s="78" t="str">
        <f>IF(AD63=Lookups!$I$5+1,LARGE(V63:AC63,5),"")</f>
        <v/>
      </c>
      <c r="AI63" s="78" t="str">
        <f>IF(AD63=Lookups!$I$5+2,LARGE(V63:AC63,6),"")</f>
        <v/>
      </c>
      <c r="AJ63" s="78"/>
      <c r="AK63" s="78"/>
      <c r="AL63" s="140" t="str">
        <f t="shared" si="11"/>
        <v/>
      </c>
      <c r="AM63" s="134" t="str">
        <f>IF(OR(AD63=0,AD63=""),"",IF(COUNTIFS($AR$6:$AR$177,"&gt;"&amp;AR63)+COUNTIFS(AR$6:AR63,"="&amp;AR63)=0,"",COUNTIFS($AR$6:$AR$177,"&gt;"&amp;AR63)+COUNTIFS(AR$6:AR63,"="&amp;AR63)))</f>
        <v/>
      </c>
      <c r="AN63" s="134" t="str">
        <f>IFERROR(IF(OR(AD63=0,AD63=""),"",IF(COUNTIFS($AS$6:$AS$177,"&gt;"&amp;AS63)+COUNTIFS(AS$6:AS63,"="&amp;AS63)=0,"",COUNTIFS($AS$6:$AS$177,"&gt;"&amp;AS63)+COUNTIFS(AS$6:AS63,"="&amp;AS63)+$AM$5)),"")</f>
        <v/>
      </c>
      <c r="AO63" s="134" t="str">
        <f>IFERROR(IF(OR(AD63=0,AD63=""),"",IF(COUNTIFS($AT$6:$AT$177,"&gt;"&amp;AT63)+COUNTIFS(AT$6:AT63,"="&amp;AT63)=0,"",COUNTIFS($AT$6:$AT$177,"&gt;"&amp;AT63)+COUNTIFS(AT$6:AT63,"="&amp;AT63)+$AN$5)),"")</f>
        <v/>
      </c>
      <c r="AP63" s="134" t="str">
        <f>IFERROR(IF(OR(AD63=0,AD63=""),"",IF(COUNTIFS($AU$6:$AU$177,"&gt;"&amp;AU63)+COUNTIFS(AU$6:AU63,"="&amp;AU63)=0,"",COUNTIFS($AU$6:$AU$177,"&gt;"&amp;AU63)+COUNTIFS(AU$6:AU63,"="&amp;AU63)+$AO$5)),"")</f>
        <v/>
      </c>
      <c r="AQ63" s="134" t="str">
        <f>IFERROR(IF(OR(AD63=0,AD63=""),"",IF(COUNTIFS($AV$6:$AV$177,"&gt;"&amp;AV63)+COUNTIFS(AV$6:AV63,"="&amp;AV63)=0,"",COUNTIFS($AV$6:$AV$177,"&gt;"&amp;AV63)+COUNTIFS(AV$6:AV63,"="&amp;AV63)+$AP$5)),"")</f>
        <v/>
      </c>
      <c r="AR63" s="78" t="str">
        <f t="shared" si="12"/>
        <v/>
      </c>
      <c r="AS63" s="78" t="str">
        <f t="shared" si="13"/>
        <v/>
      </c>
      <c r="AT63" s="78" t="str">
        <f t="shared" si="14"/>
        <v/>
      </c>
      <c r="AU63" s="78" t="str">
        <f t="shared" si="15"/>
        <v/>
      </c>
      <c r="AV63" s="78" t="str">
        <f t="shared" si="16"/>
        <v/>
      </c>
    </row>
    <row r="64" spans="1:48" ht="16.5" customHeight="1" x14ac:dyDescent="0.3">
      <c r="A64" t="str">
        <f>IF(AD64="","",COUNTIFS($H$6:$H$120,H64,$AF$6:$AF$120,"&gt;"&amp;AF64)+COUNTIFS(H64:$H$120,H64,AF64:$AF$120,AF64))</f>
        <v/>
      </c>
      <c r="C64" t="str">
        <f t="shared" si="10"/>
        <v/>
      </c>
      <c r="D64" t="str">
        <f>IF(AG64=0,"",IF(COUNTIFS($AG$6:$AG$177,"&gt;"&amp;AG64)+COUNTIFS(AG$6:AG64,"="&amp;AG64)=0,"",COUNTIFS($AG$6:$AG$177,"&gt;"&amp;AG64)+COUNTIFS(AG$6:AG64,"="&amp;AG64)))</f>
        <v/>
      </c>
      <c r="F64" s="19"/>
      <c r="G64" s="107" t="str">
        <f>IFERROR(IF(VLOOKUP(F64,Lookups!$A$2:$F$111,2,FALSE)="","",VLOOKUP(F64,Lookups!$A$2:$F$111,2,FALSE)),"")</f>
        <v/>
      </c>
      <c r="H64" s="107" t="str">
        <f>IFERROR(IF(VLOOKUP(F64,Lookups!$A$2:$F$111,3,FALSE)="","",VLOOKUP(F64,Lookups!$A$2:$F$111,3,FALSE)),"")</f>
        <v/>
      </c>
      <c r="I64" s="107" t="str">
        <f>IFERROR(IF(AF64=0,"",VLOOKUP(AF64,Lookups!$K$2:$L$6,2,TRUE)),"")</f>
        <v/>
      </c>
      <c r="J64" s="107" t="str">
        <f>IF(AD64&lt;Lookups!$I$5,"Y","N")</f>
        <v>N</v>
      </c>
      <c r="K64" s="107" t="str">
        <f>IFERROR(IF(VLOOKUP(F64,Lookups!$A$2:$F$111,4,FALSE)="","",VLOOKUP(F64,Lookups!$A$2:$F$111,4,FALSE)),"")</f>
        <v/>
      </c>
      <c r="L64" s="107" t="str">
        <f>IFERROR(IF(VLOOKUP(F64,Lookups!$A$2:$F$111,5,FALSE)="","",VLOOKUP(F64,Lookups!$A$2:$F$111,5,FALSE)),"")</f>
        <v/>
      </c>
      <c r="M64" s="108" t="str">
        <f>IFERROR(IF(VLOOKUP(F64,Lookups!$A$2:$F$111,6,FALSE)="","",VLOOKUP(F64,Lookups!$A$2:$F$111,6,FALSE)),"")</f>
        <v/>
      </c>
      <c r="N64" s="57" t="str">
        <f>IFERROR(IF(VLOOKUP(F64,Scores!$A$1:$I$99,2,FALSE)="","",VLOOKUP(F64,Scores!$A$1:$I$99,2,FALSE)),"")</f>
        <v/>
      </c>
      <c r="O64" s="58" t="str">
        <f>IFERROR(IF(VLOOKUP(F64,Scores!$A$1:$I$99,3,FALSE)="","",VLOOKUP(F64,Scores!$A$1:$I$99,3,FALSE)),"")</f>
        <v/>
      </c>
      <c r="P64" s="58" t="str">
        <f>IFERROR(IF(VLOOKUP(F64,Scores!$A$1:$I$99,4,FALSE)="","",VLOOKUP(F64,Scores!$A$1:$I$99,4,FALSE)),"")</f>
        <v/>
      </c>
      <c r="Q64" s="58" t="str">
        <f>IFERROR(IF(VLOOKUP(F64,Scores!$A$1:$I$99,5,FALSE)="","",VLOOKUP(F64,Scores!$A$1:$I$99,5,FALSE)),"")</f>
        <v/>
      </c>
      <c r="R64" s="58" t="str">
        <f>IFERROR(IF(VLOOKUP(F64,Scores!$A$1:$I$99,6,FALSE)="","",VLOOKUP(F64,Scores!$A$1:$I$99,6,FALSE)),"")</f>
        <v/>
      </c>
      <c r="S64" s="58" t="str">
        <f>IFERROR(IF(VLOOKUP(F64,Scores!$A$1:$I$99,7,FALSE)="","",VLOOKUP(F64,Scores!$A$1:$I$99,7,FALSE)),"")</f>
        <v/>
      </c>
      <c r="T64" s="58" t="str">
        <f>IFERROR(IF(VLOOKUP(F64,Scores!$A$1:$I$99,8,FALSE)="","",VLOOKUP(F64,Scores!$A$1:$I$99,8,FALSE)),"")</f>
        <v/>
      </c>
      <c r="U64" s="60" t="str">
        <f>IFERROR(IF(VLOOKUP(F64,Scores!$A$1:$I$99,9,FALSE)="","",VLOOKUP(F64,Scores!$A$1:$I$99,9,FALSE)),"")</f>
        <v/>
      </c>
      <c r="V64" s="54" t="str">
        <f t="shared" si="28"/>
        <v/>
      </c>
      <c r="W64" s="55" t="str">
        <f t="shared" si="29"/>
        <v/>
      </c>
      <c r="X64" s="55" t="str">
        <f t="shared" si="30"/>
        <v/>
      </c>
      <c r="Y64" s="55" t="str">
        <f t="shared" si="31"/>
        <v/>
      </c>
      <c r="Z64" s="55" t="str">
        <f t="shared" si="32"/>
        <v/>
      </c>
      <c r="AA64" s="55" t="str">
        <f t="shared" si="33"/>
        <v/>
      </c>
      <c r="AB64" s="55" t="str">
        <f t="shared" si="34"/>
        <v/>
      </c>
      <c r="AC64" s="56" t="str">
        <f t="shared" si="35"/>
        <v/>
      </c>
      <c r="AD64" s="79" t="str">
        <f t="shared" si="25"/>
        <v/>
      </c>
      <c r="AE64" s="59" t="str">
        <f t="shared" si="26"/>
        <v/>
      </c>
      <c r="AF64" s="55" t="str" cm="1">
        <f t="array" ref="AF64">IFERROR(IF(AD64&gt;Lookups!$I$5-1,AVERAGE(LARGE(V64:AC64,_xlfn.SEQUENCE(Lookups!$I$5))),AVERAGE(LARGE(V64:AC64,_xlfn.SEQUENCE(AD64)))),"")</f>
        <v/>
      </c>
      <c r="AG64" s="124" t="str">
        <f t="shared" si="27"/>
        <v/>
      </c>
      <c r="AH64" s="78" t="str">
        <f>IF(AD64=Lookups!$I$5+1,LARGE(V64:AC64,5),"")</f>
        <v/>
      </c>
      <c r="AI64" s="78" t="str">
        <f>IF(AD64=Lookups!$I$5+2,LARGE(V64:AC64,6),"")</f>
        <v/>
      </c>
      <c r="AJ64" s="78"/>
      <c r="AK64" s="78"/>
      <c r="AL64" s="140" t="str">
        <f t="shared" si="11"/>
        <v/>
      </c>
      <c r="AM64" s="134" t="str">
        <f>IF(OR(AD64=0,AD64=""),"",IF(COUNTIFS($AR$6:$AR$177,"&gt;"&amp;AR64)+COUNTIFS(AR$6:AR64,"="&amp;AR64)=0,"",COUNTIFS($AR$6:$AR$177,"&gt;"&amp;AR64)+COUNTIFS(AR$6:AR64,"="&amp;AR64)))</f>
        <v/>
      </c>
      <c r="AN64" s="134" t="str">
        <f>IFERROR(IF(OR(AD64=0,AD64=""),"",IF(COUNTIFS($AS$6:$AS$177,"&gt;"&amp;AS64)+COUNTIFS(AS$6:AS64,"="&amp;AS64)=0,"",COUNTIFS($AS$6:$AS$177,"&gt;"&amp;AS64)+COUNTIFS(AS$6:AS64,"="&amp;AS64)+$AM$5)),"")</f>
        <v/>
      </c>
      <c r="AO64" s="134" t="str">
        <f>IFERROR(IF(OR(AD64=0,AD64=""),"",IF(COUNTIFS($AT$6:$AT$177,"&gt;"&amp;AT64)+COUNTIFS(AT$6:AT64,"="&amp;AT64)=0,"",COUNTIFS($AT$6:$AT$177,"&gt;"&amp;AT64)+COUNTIFS(AT$6:AT64,"="&amp;AT64)+$AN$5)),"")</f>
        <v/>
      </c>
      <c r="AP64" s="134" t="str">
        <f>IFERROR(IF(OR(AD64=0,AD64=""),"",IF(COUNTIFS($AU$6:$AU$177,"&gt;"&amp;AU64)+COUNTIFS(AU$6:AU64,"="&amp;AU64)=0,"",COUNTIFS($AU$6:$AU$177,"&gt;"&amp;AU64)+COUNTIFS(AU$6:AU64,"="&amp;AU64)+$AO$5)),"")</f>
        <v/>
      </c>
      <c r="AQ64" s="134" t="str">
        <f>IFERROR(IF(OR(AD64=0,AD64=""),"",IF(COUNTIFS($AV$6:$AV$177,"&gt;"&amp;AV64)+COUNTIFS(AV$6:AV64,"="&amp;AV64)=0,"",COUNTIFS($AV$6:$AV$177,"&gt;"&amp;AV64)+COUNTIFS(AV$6:AV64,"="&amp;AV64)+$AP$5)),"")</f>
        <v/>
      </c>
      <c r="AR64" s="78" t="str">
        <f t="shared" si="12"/>
        <v/>
      </c>
      <c r="AS64" s="78" t="str">
        <f t="shared" si="13"/>
        <v/>
      </c>
      <c r="AT64" s="78" t="str">
        <f t="shared" si="14"/>
        <v/>
      </c>
      <c r="AU64" s="78" t="str">
        <f t="shared" si="15"/>
        <v/>
      </c>
      <c r="AV64" s="78" t="str">
        <f t="shared" si="16"/>
        <v/>
      </c>
    </row>
    <row r="65" spans="1:48" ht="16.5" customHeight="1" x14ac:dyDescent="0.3">
      <c r="A65" t="str">
        <f>IF(AD65="","",COUNTIFS($H$6:$H$120,H65,$AF$6:$AF$120,"&gt;"&amp;AF65)+COUNTIFS(H65:$H$120,H65,AF65:$AF$120,AF65))</f>
        <v/>
      </c>
      <c r="C65" t="str">
        <f t="shared" si="10"/>
        <v/>
      </c>
      <c r="D65" t="str">
        <f>IF(AG65=0,"",IF(COUNTIFS($AG$6:$AG$177,"&gt;"&amp;AG65)+COUNTIFS(AG$6:AG65,"="&amp;AG65)=0,"",COUNTIFS($AG$6:$AG$177,"&gt;"&amp;AG65)+COUNTIFS(AG$6:AG65,"="&amp;AG65)))</f>
        <v/>
      </c>
      <c r="F65" s="19"/>
      <c r="G65" s="107" t="str">
        <f>IFERROR(IF(VLOOKUP(F65,Lookups!$A$2:$F$111,2,FALSE)="","",VLOOKUP(F65,Lookups!$A$2:$F$111,2,FALSE)),"")</f>
        <v/>
      </c>
      <c r="H65" s="107" t="str">
        <f>IFERROR(IF(VLOOKUP(F65,Lookups!$A$2:$F$111,3,FALSE)="","",VLOOKUP(F65,Lookups!$A$2:$F$111,3,FALSE)),"")</f>
        <v/>
      </c>
      <c r="I65" s="107" t="str">
        <f>IFERROR(IF(AF65=0,"",VLOOKUP(AF65,Lookups!$K$2:$L$6,2,TRUE)),"")</f>
        <v/>
      </c>
      <c r="J65" s="107" t="str">
        <f>IF(AD65&lt;Lookups!$I$5,"Y","N")</f>
        <v>N</v>
      </c>
      <c r="K65" s="107" t="str">
        <f>IFERROR(IF(VLOOKUP(F65,Lookups!$A$2:$F$111,4,FALSE)="","",VLOOKUP(F65,Lookups!$A$2:$F$111,4,FALSE)),"")</f>
        <v/>
      </c>
      <c r="L65" s="107" t="str">
        <f>IFERROR(IF(VLOOKUP(F65,Lookups!$A$2:$F$111,5,FALSE)="","",VLOOKUP(F65,Lookups!$A$2:$F$111,5,FALSE)),"")</f>
        <v/>
      </c>
      <c r="M65" s="108" t="str">
        <f>IFERROR(IF(VLOOKUP(F65,Lookups!$A$2:$F$111,6,FALSE)="","",VLOOKUP(F65,Lookups!$A$2:$F$111,6,FALSE)),"")</f>
        <v/>
      </c>
      <c r="N65" s="57" t="str">
        <f>IFERROR(IF(VLOOKUP(F65,Scores!$A$1:$I$99,2,FALSE)="","",VLOOKUP(F65,Scores!$A$1:$I$99,2,FALSE)),"")</f>
        <v/>
      </c>
      <c r="O65" s="58" t="str">
        <f>IFERROR(IF(VLOOKUP(F65,Scores!$A$1:$I$99,3,FALSE)="","",VLOOKUP(F65,Scores!$A$1:$I$99,3,FALSE)),"")</f>
        <v/>
      </c>
      <c r="P65" s="58" t="str">
        <f>IFERROR(IF(VLOOKUP(F65,Scores!$A$1:$I$99,4,FALSE)="","",VLOOKUP(F65,Scores!$A$1:$I$99,4,FALSE)),"")</f>
        <v/>
      </c>
      <c r="Q65" s="58" t="str">
        <f>IFERROR(IF(VLOOKUP(F65,Scores!$A$1:$I$99,5,FALSE)="","",VLOOKUP(F65,Scores!$A$1:$I$99,5,FALSE)),"")</f>
        <v/>
      </c>
      <c r="R65" s="58" t="str">
        <f>IFERROR(IF(VLOOKUP(F65,Scores!$A$1:$I$99,6,FALSE)="","",VLOOKUP(F65,Scores!$A$1:$I$99,6,FALSE)),"")</f>
        <v/>
      </c>
      <c r="S65" s="58" t="str">
        <f>IFERROR(IF(VLOOKUP(F65,Scores!$A$1:$I$99,7,FALSE)="","",VLOOKUP(F65,Scores!$A$1:$I$99,7,FALSE)),"")</f>
        <v/>
      </c>
      <c r="T65" s="58" t="str">
        <f>IFERROR(IF(VLOOKUP(F65,Scores!$A$1:$I$99,8,FALSE)="","",VLOOKUP(F65,Scores!$A$1:$I$99,8,FALSE)),"")</f>
        <v/>
      </c>
      <c r="U65" s="60" t="str">
        <f>IFERROR(IF(VLOOKUP(F65,Scores!$A$1:$I$99,9,FALSE)="","",VLOOKUP(F65,Scores!$A$1:$I$99,9,FALSE)),"")</f>
        <v/>
      </c>
      <c r="V65" s="54" t="str">
        <f t="shared" si="28"/>
        <v/>
      </c>
      <c r="W65" s="55" t="str">
        <f t="shared" si="29"/>
        <v/>
      </c>
      <c r="X65" s="55" t="str">
        <f t="shared" si="30"/>
        <v/>
      </c>
      <c r="Y65" s="55" t="str">
        <f t="shared" si="31"/>
        <v/>
      </c>
      <c r="Z65" s="55" t="str">
        <f t="shared" si="32"/>
        <v/>
      </c>
      <c r="AA65" s="55" t="str">
        <f t="shared" si="33"/>
        <v/>
      </c>
      <c r="AB65" s="55" t="str">
        <f t="shared" si="34"/>
        <v/>
      </c>
      <c r="AC65" s="56" t="str">
        <f t="shared" si="35"/>
        <v/>
      </c>
      <c r="AD65" s="79" t="str">
        <f t="shared" si="25"/>
        <v/>
      </c>
      <c r="AE65" s="59" t="str">
        <f t="shared" si="26"/>
        <v/>
      </c>
      <c r="AF65" s="55" t="str" cm="1">
        <f t="array" ref="AF65">IFERROR(IF(AD65&gt;Lookups!$I$5-1,AVERAGE(LARGE(V65:AC65,_xlfn.SEQUENCE(Lookups!$I$5))),AVERAGE(LARGE(V65:AC65,_xlfn.SEQUENCE(AD65)))),"")</f>
        <v/>
      </c>
      <c r="AG65" s="124" t="str">
        <f t="shared" si="27"/>
        <v/>
      </c>
      <c r="AH65" s="78" t="str">
        <f>IF(AD65=Lookups!$I$5+1,LARGE(V65:AC65,5),"")</f>
        <v/>
      </c>
      <c r="AI65" s="78" t="str">
        <f>IF(AD65=Lookups!$I$5+2,LARGE(V65:AC65,6),"")</f>
        <v/>
      </c>
      <c r="AJ65" s="78"/>
      <c r="AK65" s="78"/>
      <c r="AL65" s="140" t="str">
        <f t="shared" si="11"/>
        <v/>
      </c>
      <c r="AM65" s="134" t="str">
        <f>IF(OR(AD65=0,AD65=""),"",IF(COUNTIFS($AR$6:$AR$177,"&gt;"&amp;AR65)+COUNTIFS(AR$6:AR65,"="&amp;AR65)=0,"",COUNTIFS($AR$6:$AR$177,"&gt;"&amp;AR65)+COUNTIFS(AR$6:AR65,"="&amp;AR65)))</f>
        <v/>
      </c>
      <c r="AN65" s="134" t="str">
        <f>IFERROR(IF(OR(AD65=0,AD65=""),"",IF(COUNTIFS($AS$6:$AS$177,"&gt;"&amp;AS65)+COUNTIFS(AS$6:AS65,"="&amp;AS65)=0,"",COUNTIFS($AS$6:$AS$177,"&gt;"&amp;AS65)+COUNTIFS(AS$6:AS65,"="&amp;AS65)+$AM$5)),"")</f>
        <v/>
      </c>
      <c r="AO65" s="134" t="str">
        <f>IFERROR(IF(OR(AD65=0,AD65=""),"",IF(COUNTIFS($AT$6:$AT$177,"&gt;"&amp;AT65)+COUNTIFS(AT$6:AT65,"="&amp;AT65)=0,"",COUNTIFS($AT$6:$AT$177,"&gt;"&amp;AT65)+COUNTIFS(AT$6:AT65,"="&amp;AT65)+$AN$5)),"")</f>
        <v/>
      </c>
      <c r="AP65" s="134" t="str">
        <f>IFERROR(IF(OR(AD65=0,AD65=""),"",IF(COUNTIFS($AU$6:$AU$177,"&gt;"&amp;AU65)+COUNTIFS(AU$6:AU65,"="&amp;AU65)=0,"",COUNTIFS($AU$6:$AU$177,"&gt;"&amp;AU65)+COUNTIFS(AU$6:AU65,"="&amp;AU65)+$AO$5)),"")</f>
        <v/>
      </c>
      <c r="AQ65" s="134" t="str">
        <f>IFERROR(IF(OR(AD65=0,AD65=""),"",IF(COUNTIFS($AV$6:$AV$177,"&gt;"&amp;AV65)+COUNTIFS(AV$6:AV65,"="&amp;AV65)=0,"",COUNTIFS($AV$6:$AV$177,"&gt;"&amp;AV65)+COUNTIFS(AV$6:AV65,"="&amp;AV65)+$AP$5)),"")</f>
        <v/>
      </c>
      <c r="AR65" s="78" t="str">
        <f t="shared" si="12"/>
        <v/>
      </c>
      <c r="AS65" s="78" t="str">
        <f t="shared" si="13"/>
        <v/>
      </c>
      <c r="AT65" s="78" t="str">
        <f t="shared" si="14"/>
        <v/>
      </c>
      <c r="AU65" s="78" t="str">
        <f t="shared" si="15"/>
        <v/>
      </c>
      <c r="AV65" s="78" t="str">
        <f t="shared" si="16"/>
        <v/>
      </c>
    </row>
    <row r="66" spans="1:48" ht="16.5" customHeight="1" x14ac:dyDescent="0.3">
      <c r="A66">
        <f>IF(AD66="","",COUNTIFS($H$6:$H$120,H66,$AF$6:$AF$120,"&gt;"&amp;AF66)+COUNTIFS(H66:$H$120,H66,AF66:$AF$120,AF66))</f>
        <v>1</v>
      </c>
      <c r="C66">
        <f t="shared" si="10"/>
        <v>21</v>
      </c>
      <c r="D66">
        <f>IF(AG66=0,"",IF(COUNTIFS($AG$6:$AG$177,"&gt;"&amp;AG66)+COUNTIFS(AG$6:AG66,"="&amp;AG66)=0,"",COUNTIFS($AG$6:$AG$177,"&gt;"&amp;AG66)+COUNTIFS(AG$6:AG66,"="&amp;AG66)))</f>
        <v>20</v>
      </c>
      <c r="F66" s="19" t="s">
        <v>60</v>
      </c>
      <c r="G66" s="109">
        <f>IFERROR(IF(VLOOKUP(F66,Lookups!$A$2:$F$111,2,FALSE)="","",VLOOKUP(F66,Lookups!$A$2:$F$111,2,FALSE)),"")</f>
        <v>1431</v>
      </c>
      <c r="H66" s="109" t="str">
        <f>IFERROR(IF(VLOOKUP(F66,Lookups!$A$2:$F$111,3,FALSE)="","",VLOOKUP(F66,Lookups!$A$2:$F$111,3,FALSE)),"")</f>
        <v>C</v>
      </c>
      <c r="I66" s="109" t="str">
        <f>IFERROR(IF(AF66=0,"",VLOOKUP(AF66,Lookups!$K$2:$L$6,2,TRUE)),"")</f>
        <v>B</v>
      </c>
      <c r="J66" s="109" t="str">
        <f>IF(AD66&lt;Lookups!$I$5,"Y","N")</f>
        <v>N</v>
      </c>
      <c r="K66" s="109" t="str">
        <f>IFERROR(IF(VLOOKUP(F66,Lookups!$A$2:$F$111,4,FALSE)="","",VLOOKUP(F66,Lookups!$A$2:$F$111,4,FALSE)),"")</f>
        <v>PCP</v>
      </c>
      <c r="L66" s="109" t="str">
        <f>IFERROR(IF(VLOOKUP(F66,Lookups!$A$2:$F$111,5,FALSE)="","",VLOOKUP(F66,Lookups!$A$2:$F$111,5,FALSE)),"")</f>
        <v>Buccaneers</v>
      </c>
      <c r="M66" s="110" t="str">
        <f>IFERROR(IF(VLOOKUP(F66,Lookups!$A$2:$F$111,6,FALSE)="","",VLOOKUP(F66,Lookups!$A$2:$F$111,6,FALSE)),"")</f>
        <v>Buccaneers</v>
      </c>
      <c r="N66" s="57">
        <f>IFERROR(IF(VLOOKUP(F66,Scores!$A$1:$I$99,2,FALSE)="","",VLOOKUP(F66,Scores!$A$1:$I$99,2,FALSE)),"")</f>
        <v>32</v>
      </c>
      <c r="O66" s="58">
        <f>IFERROR(IF(VLOOKUP(F66,Scores!$A$1:$I$99,3,FALSE)="","",VLOOKUP(F66,Scores!$A$1:$I$99,3,FALSE)),"")</f>
        <v>20</v>
      </c>
      <c r="P66" s="58">
        <f>IFERROR(IF(VLOOKUP(F66,Scores!$A$1:$I$99,4,FALSE)="","",VLOOKUP(F66,Scores!$A$1:$I$99,4,FALSE)),"")</f>
        <v>28</v>
      </c>
      <c r="Q66" s="58" t="str">
        <f>IFERROR(IF(VLOOKUP(F66,Scores!$A$1:$I$99,5,FALSE)="","",VLOOKUP(F66,Scores!$A$1:$I$99,5,FALSE)),"")</f>
        <v/>
      </c>
      <c r="R66" s="58">
        <f>IFERROR(IF(VLOOKUP(F66,Scores!$A$1:$I$99,6,FALSE)="","",VLOOKUP(F66,Scores!$A$1:$I$99,6,FALSE)),"")</f>
        <v>22</v>
      </c>
      <c r="S66" s="58">
        <f>IFERROR(IF(VLOOKUP(F66,Scores!$A$1:$I$99,7,FALSE)="","",VLOOKUP(F66,Scores!$A$1:$I$99,7,FALSE)),"")</f>
        <v>27</v>
      </c>
      <c r="T66" s="58" t="str">
        <f>IFERROR(IF(VLOOKUP(F66,Scores!$A$1:$I$99,8,FALSE)="","",VLOOKUP(F66,Scores!$A$1:$I$99,8,FALSE)),"")</f>
        <v/>
      </c>
      <c r="U66" s="60" t="str">
        <f>IFERROR(IF(VLOOKUP(F66,Scores!$A$1:$I$99,9,FALSE)="","",VLOOKUP(F66,Scores!$A$1:$I$99,9,FALSE)),"")</f>
        <v/>
      </c>
      <c r="V66" s="54">
        <f t="shared" si="17"/>
        <v>0.86486486486486491</v>
      </c>
      <c r="W66" s="55">
        <f t="shared" si="18"/>
        <v>0.64516129032258063</v>
      </c>
      <c r="X66" s="55">
        <f t="shared" si="19"/>
        <v>0.7567567567567568</v>
      </c>
      <c r="Y66" s="55" t="str">
        <f t="shared" si="20"/>
        <v/>
      </c>
      <c r="Z66" s="55">
        <f t="shared" si="21"/>
        <v>0.57894736842105265</v>
      </c>
      <c r="AA66" s="55">
        <f t="shared" si="22"/>
        <v>0.72972972972972971</v>
      </c>
      <c r="AB66" s="55" t="str">
        <f t="shared" si="23"/>
        <v/>
      </c>
      <c r="AC66" s="56" t="str">
        <f t="shared" si="24"/>
        <v/>
      </c>
      <c r="AD66" s="79">
        <f t="shared" si="25"/>
        <v>5</v>
      </c>
      <c r="AE66" s="59">
        <f t="shared" si="26"/>
        <v>0.71509200201899692</v>
      </c>
      <c r="AF66" s="55" cm="1">
        <f t="array" ref="AF66">IFERROR(IF(AD66&gt;Lookups!$I$5-1,AVERAGE(LARGE(V66:AC66,_xlfn.SEQUENCE(Lookups!$I$5))),AVERAGE(LARGE(V66:AC66,_xlfn.SEQUENCE(AD66)))),"")</f>
        <v>0.74912816041848296</v>
      </c>
      <c r="AG66" s="124">
        <f t="shared" si="27"/>
        <v>129</v>
      </c>
      <c r="AH66" s="78">
        <f>IF(AD66=Lookups!$I$5+1,LARGE(V66:AC66,5),"")</f>
        <v>0.57894736842105265</v>
      </c>
      <c r="AI66" s="78" t="str">
        <f>IF(AD66=Lookups!$I$5+2,LARGE(V66:AC66,6),"")</f>
        <v/>
      </c>
      <c r="AJ66" s="78"/>
      <c r="AK66" s="78"/>
      <c r="AL66" s="140">
        <f t="shared" si="11"/>
        <v>21</v>
      </c>
      <c r="AM66" s="134">
        <f>IF(OR(AD66=0,AD66=""),"",IF(COUNTIFS($AR$6:$AR$177,"&gt;"&amp;AR66)+COUNTIFS(AR$6:AR66,"="&amp;AR66)=0,"",COUNTIFS($AR$6:$AR$177,"&gt;"&amp;AR66)+COUNTIFS(AR$6:AR66,"="&amp;AR66)))</f>
        <v>21</v>
      </c>
      <c r="AN66" s="134" t="str">
        <f>IFERROR(IF(OR(AD66=0,AD66=""),"",IF(COUNTIFS($AS$6:$AS$177,"&gt;"&amp;AS66)+COUNTIFS(AS$6:AS66,"="&amp;AS66)=0,"",COUNTIFS($AS$6:$AS$177,"&gt;"&amp;AS66)+COUNTIFS(AS$6:AS66,"="&amp;AS66)+$AM$5)),"")</f>
        <v/>
      </c>
      <c r="AO66" s="134" t="str">
        <f>IFERROR(IF(OR(AD66=0,AD66=""),"",IF(COUNTIFS($AT$6:$AT$177,"&gt;"&amp;AT66)+COUNTIFS(AT$6:AT66,"="&amp;AT66)=0,"",COUNTIFS($AT$6:$AT$177,"&gt;"&amp;AT66)+COUNTIFS(AT$6:AT66,"="&amp;AT66)+$AN$5)),"")</f>
        <v/>
      </c>
      <c r="AP66" s="134" t="str">
        <f>IFERROR(IF(OR(AD66=0,AD66=""),"",IF(COUNTIFS($AU$6:$AU$177,"&gt;"&amp;AU66)+COUNTIFS(AU$6:AU66,"="&amp;AU66)=0,"",COUNTIFS($AU$6:$AU$177,"&gt;"&amp;AU66)+COUNTIFS(AU$6:AU66,"="&amp;AU66)+$AO$5)),"")</f>
        <v/>
      </c>
      <c r="AQ66" s="134" t="str">
        <f>IFERROR(IF(OR(AD66=0,AD66=""),"",IF(COUNTIFS($AV$6:$AV$177,"&gt;"&amp;AV66)+COUNTIFS(AV$6:AV66,"="&amp;AV66)=0,"",COUNTIFS($AV$6:$AV$177,"&gt;"&amp;AV66)+COUNTIFS(AV$6:AV66,"="&amp;AV66)+$AP$5)),"")</f>
        <v/>
      </c>
      <c r="AR66" s="78">
        <f t="shared" si="12"/>
        <v>0.74912816041848296</v>
      </c>
      <c r="AS66" s="78" t="str">
        <f t="shared" si="13"/>
        <v/>
      </c>
      <c r="AT66" s="78" t="str">
        <f t="shared" si="14"/>
        <v/>
      </c>
      <c r="AU66" s="78" t="str">
        <f t="shared" si="15"/>
        <v/>
      </c>
      <c r="AV66" s="78" t="str">
        <f t="shared" si="16"/>
        <v/>
      </c>
    </row>
    <row r="67" spans="1:48" ht="16.5" customHeight="1" x14ac:dyDescent="0.3">
      <c r="A67" t="str">
        <f>IF(AD67="","",COUNTIFS($H$6:$H$120,H67,$AF$6:$AF$120,"&gt;"&amp;AF67)+COUNTIFS(H67:$H$120,H67,AF67:$AF$120,AF67))</f>
        <v/>
      </c>
      <c r="C67" t="str">
        <f t="shared" si="10"/>
        <v/>
      </c>
      <c r="D67" t="str">
        <f>IF(AG67=0,"",IF(COUNTIFS($AG$6:$AG$177,"&gt;"&amp;AG67)+COUNTIFS(AG$6:AG67,"="&amp;AG67)=0,"",COUNTIFS($AG$6:$AG$177,"&gt;"&amp;AG67)+COUNTIFS(AG$6:AG67,"="&amp;AG67)))</f>
        <v/>
      </c>
      <c r="F67" s="19"/>
      <c r="G67" s="109" t="str">
        <f>IFERROR(IF(VLOOKUP(F67,Lookups!$A$2:$F$111,2,FALSE)="","",VLOOKUP(F67,Lookups!$A$2:$F$111,2,FALSE)),"")</f>
        <v/>
      </c>
      <c r="H67" s="109" t="str">
        <f>IFERROR(IF(VLOOKUP(F67,Lookups!$A$2:$F$111,3,FALSE)="","",VLOOKUP(F67,Lookups!$A$2:$F$111,3,FALSE)),"")</f>
        <v/>
      </c>
      <c r="I67" s="109" t="str">
        <f>IFERROR(IF(AF67=0,"",VLOOKUP(AF67,Lookups!$K$2:$L$6,2,TRUE)),"")</f>
        <v/>
      </c>
      <c r="J67" s="109"/>
      <c r="K67" s="109" t="str">
        <f>IFERROR(IF(VLOOKUP(F67,Lookups!$A$2:$F$111,4,FALSE)="","",VLOOKUP(F67,Lookups!$A$2:$F$111,4,FALSE)),"")</f>
        <v/>
      </c>
      <c r="L67" s="109" t="str">
        <f>IFERROR(IF(VLOOKUP(F67,Lookups!$A$2:$F$111,5,FALSE)="","",VLOOKUP(F67,Lookups!$A$2:$F$111,5,FALSE)),"")</f>
        <v/>
      </c>
      <c r="M67" s="110" t="str">
        <f>IFERROR(IF(VLOOKUP(F67,Lookups!$A$2:$F$111,6,FALSE)="","",VLOOKUP(F67,Lookups!$A$2:$F$111,6,FALSE)),"")</f>
        <v/>
      </c>
      <c r="N67" s="57" t="str">
        <f>IFERROR(IF(VLOOKUP(F67,Scores!$A$1:$I$99,2,FALSE)="","",VLOOKUP(F67,Scores!$A$1:$I$99,2,FALSE)),"")</f>
        <v/>
      </c>
      <c r="O67" s="58" t="str">
        <f>IFERROR(IF(VLOOKUP(F67,Scores!$A$1:$I$99,3,FALSE)="","",VLOOKUP(F67,Scores!$A$1:$I$99,3,FALSE)),"")</f>
        <v/>
      </c>
      <c r="P67" s="58" t="str">
        <f>IFERROR(IF(VLOOKUP(F67,Scores!$A$1:$I$99,4,FALSE)="","",VLOOKUP(F67,Scores!$A$1:$I$99,4,FALSE)),"")</f>
        <v/>
      </c>
      <c r="Q67" s="58" t="str">
        <f>IFERROR(IF(VLOOKUP(F67,Scores!$A$1:$I$99,5,FALSE)="","",VLOOKUP(F67,Scores!$A$1:$I$99,5,FALSE)),"")</f>
        <v/>
      </c>
      <c r="R67" s="58" t="str">
        <f>IFERROR(IF(VLOOKUP(F67,Scores!$A$1:$I$99,6,FALSE)="","",VLOOKUP(F67,Scores!$A$1:$I$99,6,FALSE)),"")</f>
        <v/>
      </c>
      <c r="S67" s="58" t="str">
        <f>IFERROR(IF(VLOOKUP(F67,Scores!$A$1:$I$99,7,FALSE)="","",VLOOKUP(F67,Scores!$A$1:$I$99,7,FALSE)),"")</f>
        <v/>
      </c>
      <c r="T67" s="58" t="str">
        <f>IFERROR(IF(VLOOKUP(F67,Scores!$A$1:$I$99,8,FALSE)="","",VLOOKUP(F67,Scores!$A$1:$I$99,8,FALSE)),"")</f>
        <v/>
      </c>
      <c r="U67" s="60" t="str">
        <f>IFERROR(IF(VLOOKUP(F67,Scores!$A$1:$I$99,9,FALSE)="","",VLOOKUP(F67,Scores!$A$1:$I$99,9,FALSE)),"")</f>
        <v/>
      </c>
      <c r="V67" s="54" t="str">
        <f t="shared" si="17"/>
        <v/>
      </c>
      <c r="W67" s="55" t="str">
        <f t="shared" si="18"/>
        <v/>
      </c>
      <c r="X67" s="55" t="str">
        <f t="shared" si="19"/>
        <v/>
      </c>
      <c r="Y67" s="55" t="str">
        <f t="shared" si="20"/>
        <v/>
      </c>
      <c r="Z67" s="55" t="str">
        <f t="shared" si="21"/>
        <v/>
      </c>
      <c r="AA67" s="55" t="str">
        <f t="shared" si="22"/>
        <v/>
      </c>
      <c r="AB67" s="55" t="str">
        <f t="shared" si="23"/>
        <v/>
      </c>
      <c r="AC67" s="56" t="str">
        <f t="shared" si="24"/>
        <v/>
      </c>
      <c r="AD67" s="79" t="str">
        <f t="shared" si="25"/>
        <v/>
      </c>
      <c r="AE67" s="59" t="str">
        <f t="shared" si="26"/>
        <v/>
      </c>
      <c r="AF67" s="55" t="str" cm="1">
        <f t="array" ref="AF67">IFERROR(IF(AD67&gt;Lookups!$I$5-1,AVERAGE(LARGE(V67:AC67,_xlfn.SEQUENCE(Lookups!$I$5))),AVERAGE(LARGE(V67:AC67,_xlfn.SEQUENCE(AD67)))),"")</f>
        <v/>
      </c>
      <c r="AG67" s="124" t="str">
        <f t="shared" si="27"/>
        <v/>
      </c>
      <c r="AH67" s="78" t="str">
        <f>IF(AD67=Lookups!$I$5+1,LARGE(V67:AC67,5),"")</f>
        <v/>
      </c>
      <c r="AI67" s="78" t="str">
        <f>IF(AD67=Lookups!$I$5+2,LARGE(V67:AC67,6),"")</f>
        <v/>
      </c>
      <c r="AJ67" s="78"/>
      <c r="AK67" s="78"/>
      <c r="AL67" s="140" t="str">
        <f t="shared" si="11"/>
        <v/>
      </c>
      <c r="AM67" s="134" t="str">
        <f>IF(OR(AD67=0,AD67=""),"",IF(COUNTIFS($AR$6:$AR$177,"&gt;"&amp;AR67)+COUNTIFS(AR$6:AR67,"="&amp;AR67)=0,"",COUNTIFS($AR$6:$AR$177,"&gt;"&amp;AR67)+COUNTIFS(AR$6:AR67,"="&amp;AR67)))</f>
        <v/>
      </c>
      <c r="AN67" s="134" t="str">
        <f>IFERROR(IF(OR(AD67=0,AD67=""),"",IF(COUNTIFS($AS$6:$AS$177,"&gt;"&amp;AS67)+COUNTIFS(AS$6:AS67,"="&amp;AS67)=0,"",COUNTIFS($AS$6:$AS$177,"&gt;"&amp;AS67)+COUNTIFS(AS$6:AS67,"="&amp;AS67)+$AM$5)),"")</f>
        <v/>
      </c>
      <c r="AO67" s="134" t="str">
        <f>IFERROR(IF(OR(AD67=0,AD67=""),"",IF(COUNTIFS($AT$6:$AT$177,"&gt;"&amp;AT67)+COUNTIFS(AT$6:AT67,"="&amp;AT67)=0,"",COUNTIFS($AT$6:$AT$177,"&gt;"&amp;AT67)+COUNTIFS(AT$6:AT67,"="&amp;AT67)+$AN$5)),"")</f>
        <v/>
      </c>
      <c r="AP67" s="134" t="str">
        <f>IFERROR(IF(OR(AD67=0,AD67=""),"",IF(COUNTIFS($AU$6:$AU$177,"&gt;"&amp;AU67)+COUNTIFS(AU$6:AU67,"="&amp;AU67)=0,"",COUNTIFS($AU$6:$AU$177,"&gt;"&amp;AU67)+COUNTIFS(AU$6:AU67,"="&amp;AU67)+$AO$5)),"")</f>
        <v/>
      </c>
      <c r="AQ67" s="134" t="str">
        <f>IFERROR(IF(OR(AD67=0,AD67=""),"",IF(COUNTIFS($AV$6:$AV$177,"&gt;"&amp;AV67)+COUNTIFS(AV$6:AV67,"="&amp;AV67)=0,"",COUNTIFS($AV$6:$AV$177,"&gt;"&amp;AV67)+COUNTIFS(AV$6:AV67,"="&amp;AV67)+$AP$5)),"")</f>
        <v/>
      </c>
      <c r="AR67" s="78" t="str">
        <f t="shared" si="12"/>
        <v/>
      </c>
      <c r="AS67" s="78" t="str">
        <f t="shared" si="13"/>
        <v/>
      </c>
      <c r="AT67" s="78" t="str">
        <f t="shared" si="14"/>
        <v/>
      </c>
      <c r="AU67" s="78" t="str">
        <f t="shared" si="15"/>
        <v/>
      </c>
      <c r="AV67" s="78" t="str">
        <f t="shared" si="16"/>
        <v/>
      </c>
    </row>
    <row r="68" spans="1:48" ht="16.5" customHeight="1" x14ac:dyDescent="0.3">
      <c r="A68">
        <f>IF(AD68="","",COUNTIFS($H$6:$H$120,H68,$AF$6:$AF$120,"&gt;"&amp;AF68)+COUNTIFS(H68:$H$120,H68,AF68:$AF$120,AF68))</f>
        <v>7</v>
      </c>
      <c r="C68">
        <f t="shared" si="10"/>
        <v>34</v>
      </c>
      <c r="D68">
        <f>IF(AG68=0,"",IF(COUNTIFS($AG$6:$AG$177,"&gt;"&amp;AG68)+COUNTIFS(AG$6:AG68,"="&amp;AG68)=0,"",COUNTIFS($AG$6:$AG$177,"&gt;"&amp;AG68)+COUNTIFS(AG$6:AG68,"="&amp;AG68)))</f>
        <v>37</v>
      </c>
      <c r="F68" s="19" t="s">
        <v>66</v>
      </c>
      <c r="G68" s="109">
        <f>IFERROR(IF(VLOOKUP(F68,Lookups!$A$2:$F$111,2,FALSE)="","",VLOOKUP(F68,Lookups!$A$2:$F$111,2,FALSE)),"")</f>
        <v>1654</v>
      </c>
      <c r="H68" s="109" t="str">
        <f>IFERROR(IF(VLOOKUP(F68,Lookups!$A$2:$F$111,3,FALSE)="","",VLOOKUP(F68,Lookups!$A$2:$F$111,3,FALSE)),"")</f>
        <v>C</v>
      </c>
      <c r="I68" s="109" t="str">
        <f>IFERROR(IF(AF68=0,"",VLOOKUP(AF68,Lookups!$K$2:$L$6,2,TRUE)),"")</f>
        <v>C</v>
      </c>
      <c r="J68" s="109" t="str">
        <f>IF(AD68&lt;Lookups!$I$5,"Y","N")</f>
        <v>Y</v>
      </c>
      <c r="K68" s="109" t="str">
        <f>IFERROR(IF(VLOOKUP(F68,Lookups!$A$2:$F$111,4,FALSE)="","",VLOOKUP(F68,Lookups!$A$2:$F$111,4,FALSE)),"")</f>
        <v>PCP</v>
      </c>
      <c r="L68" s="109" t="str">
        <f>IFERROR(IF(VLOOKUP(F68,Lookups!$A$2:$F$111,5,FALSE)="","",VLOOKUP(F68,Lookups!$A$2:$F$111,5,FALSE)),"")</f>
        <v>Newbury</v>
      </c>
      <c r="M68" s="110" t="str">
        <f>IFERROR(IF(VLOOKUP(F68,Lookups!$A$2:$F$111,6,FALSE)="","",VLOOKUP(F68,Lookups!$A$2:$F$111,6,FALSE)),"")</f>
        <v>Newbury</v>
      </c>
      <c r="N68" s="57">
        <f>IFERROR(IF(VLOOKUP(F68,Scores!$A$1:$I$99,2,FALSE)="","",VLOOKUP(F68,Scores!$A$1:$I$99,2,FALSE)),"")</f>
        <v>14</v>
      </c>
      <c r="O68" s="58">
        <f>IFERROR(IF(VLOOKUP(F68,Scores!$A$1:$I$99,3,FALSE)="","",VLOOKUP(F68,Scores!$A$1:$I$99,3,FALSE)),"")</f>
        <v>12</v>
      </c>
      <c r="P68" s="58">
        <f>IFERROR(IF(VLOOKUP(F68,Scores!$A$1:$I$99,4,FALSE)="","",VLOOKUP(F68,Scores!$A$1:$I$99,4,FALSE)),"")</f>
        <v>20</v>
      </c>
      <c r="Q68" s="58" t="str">
        <f>IFERROR(IF(VLOOKUP(F68,Scores!$A$1:$I$99,5,FALSE)="","",VLOOKUP(F68,Scores!$A$1:$I$99,5,FALSE)),"")</f>
        <v/>
      </c>
      <c r="R68" s="58" t="str">
        <f>IFERROR(IF(VLOOKUP(F68,Scores!$A$1:$I$99,6,FALSE)="","",VLOOKUP(F68,Scores!$A$1:$I$99,6,FALSE)),"")</f>
        <v/>
      </c>
      <c r="S68" s="58" t="str">
        <f>IFERROR(IF(VLOOKUP(F68,Scores!$A$1:$I$99,7,FALSE)="","",VLOOKUP(F68,Scores!$A$1:$I$99,7,FALSE)),"")</f>
        <v/>
      </c>
      <c r="T68" s="58" t="str">
        <f>IFERROR(IF(VLOOKUP(F68,Scores!$A$1:$I$99,8,FALSE)="","",VLOOKUP(F68,Scores!$A$1:$I$99,8,FALSE)),"")</f>
        <v/>
      </c>
      <c r="U68" s="60" t="str">
        <f>IFERROR(IF(VLOOKUP(F68,Scores!$A$1:$I$99,9,FALSE)="","",VLOOKUP(F68,Scores!$A$1:$I$99,9,FALSE)),"")</f>
        <v/>
      </c>
      <c r="V68" s="54">
        <f t="shared" si="17"/>
        <v>0.3783783783783784</v>
      </c>
      <c r="W68" s="55">
        <f t="shared" si="18"/>
        <v>0.38709677419354838</v>
      </c>
      <c r="X68" s="55">
        <f t="shared" si="19"/>
        <v>0.54054054054054057</v>
      </c>
      <c r="Y68" s="55" t="str">
        <f t="shared" si="20"/>
        <v/>
      </c>
      <c r="Z68" s="55" t="str">
        <f t="shared" si="21"/>
        <v/>
      </c>
      <c r="AA68" s="55" t="str">
        <f t="shared" si="22"/>
        <v/>
      </c>
      <c r="AB68" s="55" t="str">
        <f t="shared" si="23"/>
        <v/>
      </c>
      <c r="AC68" s="56" t="str">
        <f t="shared" si="24"/>
        <v/>
      </c>
      <c r="AD68" s="79">
        <f t="shared" si="25"/>
        <v>3</v>
      </c>
      <c r="AE68" s="59">
        <f t="shared" si="26"/>
        <v>0.43533856437082247</v>
      </c>
      <c r="AF68" s="55" cm="1">
        <f t="array" ref="AF68">IFERROR(IF(AD68&gt;Lookups!$I$5-1,AVERAGE(LARGE(V68:AC68,_xlfn.SEQUENCE(Lookups!$I$5))),AVERAGE(LARGE(V68:AC68,_xlfn.SEQUENCE(AD68)))),"")</f>
        <v>0.43533856437082247</v>
      </c>
      <c r="AG68" s="124">
        <f t="shared" si="27"/>
        <v>46</v>
      </c>
      <c r="AH68" s="78" t="str">
        <f>IF(AD68=Lookups!$I$5+1,LARGE(V68:AC68,5),"")</f>
        <v/>
      </c>
      <c r="AI68" s="78" t="str">
        <f>IF(AD68=Lookups!$I$5+2,LARGE(V68:AC68,6),"")</f>
        <v/>
      </c>
      <c r="AJ68" s="78"/>
      <c r="AK68" s="78"/>
      <c r="AL68" s="140">
        <f t="shared" si="11"/>
        <v>34</v>
      </c>
      <c r="AM68" s="134" t="str">
        <f>IF(OR(AD68=0,AD68=""),"",IF(COUNTIFS($AR$6:$AR$177,"&gt;"&amp;AR68)+COUNTIFS(AR$6:AR68,"="&amp;AR68)=0,"",COUNTIFS($AR$6:$AR$177,"&gt;"&amp;AR68)+COUNTIFS(AR$6:AR68,"="&amp;AR68)))</f>
        <v/>
      </c>
      <c r="AN68" s="134">
        <f>IFERROR(IF(OR(AD68=0,AD68=""),"",IF(COUNTIFS($AS$6:$AS$177,"&gt;"&amp;AS68)+COUNTIFS(AS$6:AS68,"="&amp;AS68)=0,"",COUNTIFS($AS$6:$AS$177,"&gt;"&amp;AS68)+COUNTIFS(AS$6:AS68,"="&amp;AS68)+$AM$5)),"")</f>
        <v>34</v>
      </c>
      <c r="AO68" s="134" t="str">
        <f>IFERROR(IF(OR(AD68=0,AD68=""),"",IF(COUNTIFS($AT$6:$AT$177,"&gt;"&amp;AT68)+COUNTIFS(AT$6:AT68,"="&amp;AT68)=0,"",COUNTIFS($AT$6:$AT$177,"&gt;"&amp;AT68)+COUNTIFS(AT$6:AT68,"="&amp;AT68)+$AN$5)),"")</f>
        <v/>
      </c>
      <c r="AP68" s="134" t="str">
        <f>IFERROR(IF(OR(AD68=0,AD68=""),"",IF(COUNTIFS($AU$6:$AU$177,"&gt;"&amp;AU68)+COUNTIFS(AU$6:AU68,"="&amp;AU68)=0,"",COUNTIFS($AU$6:$AU$177,"&gt;"&amp;AU68)+COUNTIFS(AU$6:AU68,"="&amp;AU68)+$AO$5)),"")</f>
        <v/>
      </c>
      <c r="AQ68" s="134" t="str">
        <f>IFERROR(IF(OR(AD68=0,AD68=""),"",IF(COUNTIFS($AV$6:$AV$177,"&gt;"&amp;AV68)+COUNTIFS(AV$6:AV68,"="&amp;AV68)=0,"",COUNTIFS($AV$6:$AV$177,"&gt;"&amp;AV68)+COUNTIFS(AV$6:AV68,"="&amp;AV68)+$AP$5)),"")</f>
        <v/>
      </c>
      <c r="AR68" s="78" t="str">
        <f t="shared" si="12"/>
        <v/>
      </c>
      <c r="AS68" s="78">
        <f t="shared" si="13"/>
        <v>0.43533856437082247</v>
      </c>
      <c r="AT68" s="78" t="str">
        <f t="shared" si="14"/>
        <v/>
      </c>
      <c r="AU68" s="78" t="str">
        <f t="shared" si="15"/>
        <v/>
      </c>
      <c r="AV68" s="78" t="str">
        <f t="shared" si="16"/>
        <v/>
      </c>
    </row>
    <row r="69" spans="1:48" ht="16.5" customHeight="1" x14ac:dyDescent="0.3">
      <c r="A69" t="str">
        <f>IF(AD69="","",COUNTIFS($H$6:$H$120,H69,$AF$6:$AF$120,"&gt;"&amp;AF69)+COUNTIFS(H69:$H$120,H69,AF69:$AF$120,AF69))</f>
        <v/>
      </c>
      <c r="C69" t="str">
        <f t="shared" si="10"/>
        <v/>
      </c>
      <c r="D69" t="str">
        <f>IF(AG69=0,"",IF(COUNTIFS($AG$6:$AG$177,"&gt;"&amp;AG69)+COUNTIFS(AG$6:AG69,"="&amp;AG69)=0,"",COUNTIFS($AG$6:$AG$177,"&gt;"&amp;AG69)+COUNTIFS(AG$6:AG69,"="&amp;AG69)))</f>
        <v/>
      </c>
      <c r="F69" s="22" t="s">
        <v>102</v>
      </c>
      <c r="G69" s="109">
        <f>IFERROR(IF(VLOOKUP(F69,Lookups!$A$2:$F$111,2,FALSE)="","",VLOOKUP(F69,Lookups!$A$2:$F$111,2,FALSE)),"")</f>
        <v>1667</v>
      </c>
      <c r="H69" s="109" t="str">
        <f>IFERROR(IF(VLOOKUP(F69,Lookups!$A$2:$F$111,3,FALSE)="","",VLOOKUP(F69,Lookups!$A$2:$F$111,3,FALSE)),"")</f>
        <v>C</v>
      </c>
      <c r="I69" s="109" t="str">
        <f>IFERROR(IF(AF69=0,"",VLOOKUP(AF69,Lookups!$K$2:$L$6,2,TRUE)),"")</f>
        <v/>
      </c>
      <c r="J69" s="109" t="str">
        <f>IF(AD69&lt;Lookups!$I$5,"Y","N")</f>
        <v>N</v>
      </c>
      <c r="K69" s="109" t="str">
        <f>IFERROR(IF(VLOOKUP(F69,Lookups!$A$2:$F$111,4,FALSE)="","",VLOOKUP(F69,Lookups!$A$2:$F$111,4,FALSE)),"")</f>
        <v>PCP</v>
      </c>
      <c r="L69" s="109" t="str">
        <f>IFERROR(IF(VLOOKUP(F69,Lookups!$A$2:$F$111,5,FALSE)="","",VLOOKUP(F69,Lookups!$A$2:$F$111,5,FALSE)),"")</f>
        <v>Weston Warrior</v>
      </c>
      <c r="M69" s="110" t="str">
        <f>IFERROR(IF(VLOOKUP(F69,Lookups!$A$2:$F$111,6,FALSE)="","",VLOOKUP(F69,Lookups!$A$2:$F$111,6,FALSE)),"")</f>
        <v/>
      </c>
      <c r="N69" s="57" t="str">
        <f>IFERROR(IF(VLOOKUP(F69,Scores!$A$1:$I$99,2,FALSE)="","",VLOOKUP(F69,Scores!$A$1:$I$99,2,FALSE)),"")</f>
        <v/>
      </c>
      <c r="O69" s="58" t="str">
        <f>IFERROR(IF(VLOOKUP(F69,Scores!$A$1:$I$99,3,FALSE)="","",VLOOKUP(F69,Scores!$A$1:$I$99,3,FALSE)),"")</f>
        <v/>
      </c>
      <c r="P69" s="58" t="str">
        <f>IFERROR(IF(VLOOKUP(F69,Scores!$A$1:$I$99,4,FALSE)="","",VLOOKUP(F69,Scores!$A$1:$I$99,4,FALSE)),"")</f>
        <v/>
      </c>
      <c r="Q69" s="58" t="str">
        <f>IFERROR(IF(VLOOKUP(F69,Scores!$A$1:$I$99,5,FALSE)="","",VLOOKUP(F69,Scores!$A$1:$I$99,5,FALSE)),"")</f>
        <v/>
      </c>
      <c r="R69" s="58" t="str">
        <f>IFERROR(IF(VLOOKUP(F69,Scores!$A$1:$I$99,6,FALSE)="","",VLOOKUP(F69,Scores!$A$1:$I$99,6,FALSE)),"")</f>
        <v/>
      </c>
      <c r="S69" s="58" t="str">
        <f>IFERROR(IF(VLOOKUP(F69,Scores!$A$1:$I$99,7,FALSE)="","",VLOOKUP(F69,Scores!$A$1:$I$99,7,FALSE)),"")</f>
        <v/>
      </c>
      <c r="T69" s="58" t="str">
        <f>IFERROR(IF(VLOOKUP(F69,Scores!$A$1:$I$99,8,FALSE)="","",VLOOKUP(F69,Scores!$A$1:$I$99,8,FALSE)),"")</f>
        <v/>
      </c>
      <c r="U69" s="60" t="str">
        <f>IFERROR(IF(VLOOKUP(F69,Scores!$A$1:$I$99,9,FALSE)="","",VLOOKUP(F69,Scores!$A$1:$I$99,9,FALSE)),"")</f>
        <v/>
      </c>
      <c r="V69" s="54" t="str">
        <f t="shared" si="17"/>
        <v/>
      </c>
      <c r="W69" s="55" t="str">
        <f t="shared" si="18"/>
        <v/>
      </c>
      <c r="X69" s="55" t="str">
        <f t="shared" si="19"/>
        <v/>
      </c>
      <c r="Y69" s="55" t="str">
        <f t="shared" si="20"/>
        <v/>
      </c>
      <c r="Z69" s="55" t="str">
        <f t="shared" si="21"/>
        <v/>
      </c>
      <c r="AA69" s="55" t="str">
        <f t="shared" si="22"/>
        <v/>
      </c>
      <c r="AB69" s="55" t="str">
        <f t="shared" si="23"/>
        <v/>
      </c>
      <c r="AC69" s="56" t="str">
        <f t="shared" si="24"/>
        <v/>
      </c>
      <c r="AD69" s="79" t="str">
        <f t="shared" si="25"/>
        <v/>
      </c>
      <c r="AE69" s="59" t="str">
        <f t="shared" si="26"/>
        <v/>
      </c>
      <c r="AF69" s="55" t="str" cm="1">
        <f t="array" ref="AF69">IFERROR(IF(AD69&gt;Lookups!$I$5-1,AVERAGE(LARGE(V69:AC69,_xlfn.SEQUENCE(Lookups!$I$5))),AVERAGE(LARGE(V69:AC69,_xlfn.SEQUENCE(AD69)))),"")</f>
        <v/>
      </c>
      <c r="AG69" s="124" t="str">
        <f t="shared" si="27"/>
        <v/>
      </c>
      <c r="AH69" s="78" t="str">
        <f>IF(AD69=Lookups!$I$5+1,LARGE(V69:AC69,5),"")</f>
        <v/>
      </c>
      <c r="AI69" s="78" t="str">
        <f>IF(AD69=Lookups!$I$5+2,LARGE(V69:AC69,6),"")</f>
        <v/>
      </c>
      <c r="AJ69" s="78"/>
      <c r="AK69" s="78"/>
      <c r="AL69" s="140" t="str">
        <f t="shared" si="11"/>
        <v/>
      </c>
      <c r="AM69" s="134" t="str">
        <f>IF(OR(AD69=0,AD69=""),"",IF(COUNTIFS($AR$6:$AR$177,"&gt;"&amp;AR69)+COUNTIFS(AR$6:AR69,"="&amp;AR69)=0,"",COUNTIFS($AR$6:$AR$177,"&gt;"&amp;AR69)+COUNTIFS(AR$6:AR69,"="&amp;AR69)))</f>
        <v/>
      </c>
      <c r="AN69" s="134" t="str">
        <f>IFERROR(IF(OR(AD69=0,AD69=""),"",IF(COUNTIFS($AS$6:$AS$177,"&gt;"&amp;AS69)+COUNTIFS(AS$6:AS69,"="&amp;AS69)=0,"",COUNTIFS($AS$6:$AS$177,"&gt;"&amp;AS69)+COUNTIFS(AS$6:AS69,"="&amp;AS69)+$AM$5)),"")</f>
        <v/>
      </c>
      <c r="AO69" s="134" t="str">
        <f>IFERROR(IF(OR(AD69=0,AD69=""),"",IF(COUNTIFS($AT$6:$AT$177,"&gt;"&amp;AT69)+COUNTIFS(AT$6:AT69,"="&amp;AT69)=0,"",COUNTIFS($AT$6:$AT$177,"&gt;"&amp;AT69)+COUNTIFS(AT$6:AT69,"="&amp;AT69)+$AN$5)),"")</f>
        <v/>
      </c>
      <c r="AP69" s="134" t="str">
        <f>IFERROR(IF(OR(AD69=0,AD69=""),"",IF(COUNTIFS($AU$6:$AU$177,"&gt;"&amp;AU69)+COUNTIFS(AU$6:AU69,"="&amp;AU69)=0,"",COUNTIFS($AU$6:$AU$177,"&gt;"&amp;AU69)+COUNTIFS(AU$6:AU69,"="&amp;AU69)+$AO$5)),"")</f>
        <v/>
      </c>
      <c r="AQ69" s="134" t="str">
        <f>IFERROR(IF(OR(AD69=0,AD69=""),"",IF(COUNTIFS($AV$6:$AV$177,"&gt;"&amp;AV69)+COUNTIFS(AV$6:AV69,"="&amp;AV69)=0,"",COUNTIFS($AV$6:$AV$177,"&gt;"&amp;AV69)+COUNTIFS(AV$6:AV69,"="&amp;AV69)+$AP$5)),"")</f>
        <v/>
      </c>
      <c r="AR69" s="78" t="str">
        <f t="shared" si="12"/>
        <v/>
      </c>
      <c r="AS69" s="78" t="str">
        <f t="shared" si="13"/>
        <v/>
      </c>
      <c r="AT69" s="78" t="str">
        <f t="shared" si="14"/>
        <v/>
      </c>
      <c r="AU69" s="78" t="str">
        <f t="shared" si="15"/>
        <v/>
      </c>
      <c r="AV69" s="78" t="str">
        <f t="shared" si="16"/>
        <v/>
      </c>
    </row>
    <row r="70" spans="1:48" ht="16.5" customHeight="1" x14ac:dyDescent="0.3">
      <c r="A70" t="str">
        <f>IF(AD70="","",COUNTIFS($H$6:$H$120,H70,$AF$6:$AF$120,"&gt;"&amp;AF70)+COUNTIFS(H70:$H$120,H70,AF70:$AF$120,AF70))</f>
        <v/>
      </c>
      <c r="C70" t="str">
        <f t="shared" si="10"/>
        <v/>
      </c>
      <c r="D70" t="str">
        <f>IF(AG70=0,"",IF(COUNTIFS($AG$6:$AG$177,"&gt;"&amp;AG70)+COUNTIFS(AG$6:AG70,"="&amp;AG70)=0,"",COUNTIFS($AG$6:$AG$177,"&gt;"&amp;AG70)+COUNTIFS(AG$6:AG70,"="&amp;AG70)))</f>
        <v/>
      </c>
      <c r="F70" s="19"/>
      <c r="G70" s="109" t="str">
        <f>IFERROR(IF(VLOOKUP(F70,Lookups!$A$2:$F$111,2,FALSE)="","",VLOOKUP(F70,Lookups!$A$2:$F$111,2,FALSE)),"")</f>
        <v/>
      </c>
      <c r="H70" s="109" t="str">
        <f>IFERROR(IF(VLOOKUP(F70,Lookups!$A$2:$F$111,3,FALSE)="","",VLOOKUP(F70,Lookups!$A$2:$F$111,3,FALSE)),"")</f>
        <v/>
      </c>
      <c r="I70" s="109" t="str">
        <f>IFERROR(IF(AF70=0,"",VLOOKUP(AF70,Lookups!$K$2:$L$6,2,TRUE)),"")</f>
        <v/>
      </c>
      <c r="J70" s="109" t="str">
        <f>IF(AD70&lt;Lookups!$I$5,"Y","N")</f>
        <v>N</v>
      </c>
      <c r="K70" s="109" t="str">
        <f>IFERROR(IF(VLOOKUP(F70,Lookups!$A$2:$F$111,4,FALSE)="","",VLOOKUP(F70,Lookups!$A$2:$F$111,4,FALSE)),"")</f>
        <v/>
      </c>
      <c r="L70" s="109" t="str">
        <f>IFERROR(IF(VLOOKUP(F70,Lookups!$A$2:$F$111,5,FALSE)="","",VLOOKUP(F70,Lookups!$A$2:$F$111,5,FALSE)),"")</f>
        <v/>
      </c>
      <c r="M70" s="110" t="str">
        <f>IFERROR(IF(VLOOKUP(F70,Lookups!$A$2:$F$111,6,FALSE)="","",VLOOKUP(F70,Lookups!$A$2:$F$111,6,FALSE)),"")</f>
        <v/>
      </c>
      <c r="N70" s="57" t="str">
        <f>IFERROR(IF(VLOOKUP(F70,Scores!$A$1:$I$99,2,FALSE)="","",VLOOKUP(F70,Scores!$A$1:$I$99,2,FALSE)),"")</f>
        <v/>
      </c>
      <c r="O70" s="58" t="str">
        <f>IFERROR(IF(VLOOKUP(F70,Scores!$A$1:$I$99,3,FALSE)="","",VLOOKUP(F70,Scores!$A$1:$I$99,3,FALSE)),"")</f>
        <v/>
      </c>
      <c r="P70" s="58" t="str">
        <f>IFERROR(IF(VLOOKUP(F70,Scores!$A$1:$I$99,4,FALSE)="","",VLOOKUP(F70,Scores!$A$1:$I$99,4,FALSE)),"")</f>
        <v/>
      </c>
      <c r="Q70" s="58" t="str">
        <f>IFERROR(IF(VLOOKUP(F70,Scores!$A$1:$I$99,5,FALSE)="","",VLOOKUP(F70,Scores!$A$1:$I$99,5,FALSE)),"")</f>
        <v/>
      </c>
      <c r="R70" s="58" t="str">
        <f>IFERROR(IF(VLOOKUP(F70,Scores!$A$1:$I$99,6,FALSE)="","",VLOOKUP(F70,Scores!$A$1:$I$99,6,FALSE)),"")</f>
        <v/>
      </c>
      <c r="S70" s="58" t="str">
        <f>IFERROR(IF(VLOOKUP(F70,Scores!$A$1:$I$99,7,FALSE)="","",VLOOKUP(F70,Scores!$A$1:$I$99,7,FALSE)),"")</f>
        <v/>
      </c>
      <c r="T70" s="58" t="str">
        <f>IFERROR(IF(VLOOKUP(F70,Scores!$A$1:$I$99,8,FALSE)="","",VLOOKUP(F70,Scores!$A$1:$I$99,8,FALSE)),"")</f>
        <v/>
      </c>
      <c r="U70" s="60" t="str">
        <f>IFERROR(IF(VLOOKUP(F70,Scores!$A$1:$I$99,9,FALSE)="","",VLOOKUP(F70,Scores!$A$1:$I$99,9,FALSE)),"")</f>
        <v/>
      </c>
      <c r="V70" s="54" t="str">
        <f t="shared" si="17"/>
        <v/>
      </c>
      <c r="W70" s="55" t="str">
        <f t="shared" si="18"/>
        <v/>
      </c>
      <c r="X70" s="55" t="str">
        <f t="shared" si="19"/>
        <v/>
      </c>
      <c r="Y70" s="55" t="str">
        <f t="shared" si="20"/>
        <v/>
      </c>
      <c r="Z70" s="55" t="str">
        <f t="shared" si="21"/>
        <v/>
      </c>
      <c r="AA70" s="55" t="str">
        <f t="shared" si="22"/>
        <v/>
      </c>
      <c r="AB70" s="55" t="str">
        <f t="shared" si="23"/>
        <v/>
      </c>
      <c r="AC70" s="56" t="str">
        <f t="shared" si="24"/>
        <v/>
      </c>
      <c r="AD70" s="79" t="str">
        <f t="shared" si="25"/>
        <v/>
      </c>
      <c r="AE70" s="59" t="str">
        <f t="shared" si="26"/>
        <v/>
      </c>
      <c r="AF70" s="55" t="str" cm="1">
        <f t="array" ref="AF70">IFERROR(IF(AD70&gt;Lookups!$I$5-1,AVERAGE(LARGE(V70:AC70,_xlfn.SEQUENCE(Lookups!$I$5))),AVERAGE(LARGE(V70:AC70,_xlfn.SEQUENCE(AD70)))),"")</f>
        <v/>
      </c>
      <c r="AG70" s="124" t="str">
        <f t="shared" si="27"/>
        <v/>
      </c>
      <c r="AH70" s="78" t="str">
        <f>IF(AD70=Lookups!$I$5+1,LARGE(V70:AC70,5),"")</f>
        <v/>
      </c>
      <c r="AI70" s="78" t="str">
        <f>IF(AD70=Lookups!$I$5+2,LARGE(V70:AC70,6),"")</f>
        <v/>
      </c>
      <c r="AJ70" s="78"/>
      <c r="AK70" s="78"/>
      <c r="AL70" s="140" t="str">
        <f t="shared" si="11"/>
        <v/>
      </c>
      <c r="AM70" s="134" t="str">
        <f>IF(OR(AD70=0,AD70=""),"",IF(COUNTIFS($AR$6:$AR$177,"&gt;"&amp;AR70)+COUNTIFS(AR$6:AR70,"="&amp;AR70)=0,"",COUNTIFS($AR$6:$AR$177,"&gt;"&amp;AR70)+COUNTIFS(AR$6:AR70,"="&amp;AR70)))</f>
        <v/>
      </c>
      <c r="AN70" s="134" t="str">
        <f>IFERROR(IF(OR(AD70=0,AD70=""),"",IF(COUNTIFS($AS$6:$AS$177,"&gt;"&amp;AS70)+COUNTIFS(AS$6:AS70,"="&amp;AS70)=0,"",COUNTIFS($AS$6:$AS$177,"&gt;"&amp;AS70)+COUNTIFS(AS$6:AS70,"="&amp;AS70)+$AM$5)),"")</f>
        <v/>
      </c>
      <c r="AO70" s="134" t="str">
        <f>IFERROR(IF(OR(AD70=0,AD70=""),"",IF(COUNTIFS($AT$6:$AT$177,"&gt;"&amp;AT70)+COUNTIFS(AT$6:AT70,"="&amp;AT70)=0,"",COUNTIFS($AT$6:$AT$177,"&gt;"&amp;AT70)+COUNTIFS(AT$6:AT70,"="&amp;AT70)+$AN$5)),"")</f>
        <v/>
      </c>
      <c r="AP70" s="134" t="str">
        <f>IFERROR(IF(OR(AD70=0,AD70=""),"",IF(COUNTIFS($AU$6:$AU$177,"&gt;"&amp;AU70)+COUNTIFS(AU$6:AU70,"="&amp;AU70)=0,"",COUNTIFS($AU$6:$AU$177,"&gt;"&amp;AU70)+COUNTIFS(AU$6:AU70,"="&amp;AU70)+$AO$5)),"")</f>
        <v/>
      </c>
      <c r="AQ70" s="134" t="str">
        <f>IFERROR(IF(OR(AD70=0,AD70=""),"",IF(COUNTIFS($AV$6:$AV$177,"&gt;"&amp;AV70)+COUNTIFS(AV$6:AV70,"="&amp;AV70)=0,"",COUNTIFS($AV$6:$AV$177,"&gt;"&amp;AV70)+COUNTIFS(AV$6:AV70,"="&amp;AV70)+$AP$5)),"")</f>
        <v/>
      </c>
      <c r="AR70" s="78" t="str">
        <f t="shared" si="12"/>
        <v/>
      </c>
      <c r="AS70" s="78" t="str">
        <f t="shared" si="13"/>
        <v/>
      </c>
      <c r="AT70" s="78" t="str">
        <f t="shared" si="14"/>
        <v/>
      </c>
      <c r="AU70" s="78" t="str">
        <f t="shared" si="15"/>
        <v/>
      </c>
      <c r="AV70" s="78" t="str">
        <f t="shared" si="16"/>
        <v/>
      </c>
    </row>
    <row r="71" spans="1:48" ht="16.5" customHeight="1" x14ac:dyDescent="0.3">
      <c r="A71" t="str">
        <f>IF(AD71="","",COUNTIFS($H$6:$H$120,H71,$AF$6:$AF$120,"&gt;"&amp;AF71)+COUNTIFS(H71:$H$120,H71,AF71:$AF$120,AF71))</f>
        <v/>
      </c>
      <c r="C71" t="str">
        <f t="shared" ref="C71:C120" si="36">AL71</f>
        <v/>
      </c>
      <c r="D71" t="str">
        <f>IF(AG71=0,"",IF(COUNTIFS($AG$6:$AG$177,"&gt;"&amp;AG71)+COUNTIFS(AG$6:AG71,"="&amp;AG71)=0,"",COUNTIFS($AG$6:$AG$177,"&gt;"&amp;AG71)+COUNTIFS(AG$6:AG71,"="&amp;AG71)))</f>
        <v/>
      </c>
      <c r="F71" s="17" t="s">
        <v>98</v>
      </c>
      <c r="G71" s="109">
        <f>IFERROR(IF(VLOOKUP(F71,Lookups!$A$2:$F$111,2,FALSE)="","",VLOOKUP(F71,Lookups!$A$2:$F$111,2,FALSE)),"")</f>
        <v>1878</v>
      </c>
      <c r="H71" s="109" t="str">
        <f>IFERROR(IF(VLOOKUP(F71,Lookups!$A$2:$F$111,3,FALSE)="","",VLOOKUP(F71,Lookups!$A$2:$F$111,3,FALSE)),"")</f>
        <v>C</v>
      </c>
      <c r="I71" s="109" t="str">
        <f>IFERROR(IF(AF71=0,"",VLOOKUP(AF71,Lookups!$K$2:$L$6,2,TRUE)),"")</f>
        <v/>
      </c>
      <c r="J71" s="109" t="str">
        <f>IF(AD71&lt;Lookups!$I$5,"Y","N")</f>
        <v>N</v>
      </c>
      <c r="K71" s="109" t="str">
        <f>IFERROR(IF(VLOOKUP(F71,Lookups!$A$2:$F$111,4,FALSE)="","",VLOOKUP(F71,Lookups!$A$2:$F$111,4,FALSE)),"")</f>
        <v>PCP</v>
      </c>
      <c r="L71" s="109" t="str">
        <f>IFERROR(IF(VLOOKUP(F71,Lookups!$A$2:$F$111,5,FALSE)="","",VLOOKUP(F71,Lookups!$A$2:$F$111,5,FALSE)),"")</f>
        <v>Newbury</v>
      </c>
      <c r="M71" s="110" t="str">
        <f>IFERROR(IF(VLOOKUP(F71,Lookups!$A$2:$F$111,6,FALSE)="","",VLOOKUP(F71,Lookups!$A$2:$F$111,6,FALSE)),"")</f>
        <v/>
      </c>
      <c r="N71" s="57" t="str">
        <f>IFERROR(IF(VLOOKUP(F71,Scores!$A$1:$I$99,2,FALSE)="","",VLOOKUP(F71,Scores!$A$1:$I$99,2,FALSE)),"")</f>
        <v/>
      </c>
      <c r="O71" s="58" t="str">
        <f>IFERROR(IF(VLOOKUP(F71,Scores!$A$1:$I$99,3,FALSE)="","",VLOOKUP(F71,Scores!$A$1:$I$99,3,FALSE)),"")</f>
        <v/>
      </c>
      <c r="P71" s="58" t="str">
        <f>IFERROR(IF(VLOOKUP(F71,Scores!$A$1:$I$99,4,FALSE)="","",VLOOKUP(F71,Scores!$A$1:$I$99,4,FALSE)),"")</f>
        <v/>
      </c>
      <c r="Q71" s="58" t="str">
        <f>IFERROR(IF(VLOOKUP(F71,Scores!$A$1:$I$99,5,FALSE)="","",VLOOKUP(F71,Scores!$A$1:$I$99,5,FALSE)),"")</f>
        <v/>
      </c>
      <c r="R71" s="58" t="str">
        <f>IFERROR(IF(VLOOKUP(F71,Scores!$A$1:$I$99,6,FALSE)="","",VLOOKUP(F71,Scores!$A$1:$I$99,6,FALSE)),"")</f>
        <v/>
      </c>
      <c r="S71" s="58" t="str">
        <f>IFERROR(IF(VLOOKUP(F71,Scores!$A$1:$I$99,7,FALSE)="","",VLOOKUP(F71,Scores!$A$1:$I$99,7,FALSE)),"")</f>
        <v/>
      </c>
      <c r="T71" s="58" t="str">
        <f>IFERROR(IF(VLOOKUP(F71,Scores!$A$1:$I$99,8,FALSE)="","",VLOOKUP(F71,Scores!$A$1:$I$99,8,FALSE)),"")</f>
        <v/>
      </c>
      <c r="U71" s="60" t="str">
        <f>IFERROR(IF(VLOOKUP(F71,Scores!$A$1:$I$99,9,FALSE)="","",VLOOKUP(F71,Scores!$A$1:$I$99,9,FALSE)),"")</f>
        <v/>
      </c>
      <c r="V71" s="54" t="str">
        <f t="shared" si="17"/>
        <v/>
      </c>
      <c r="W71" s="55" t="str">
        <f t="shared" si="18"/>
        <v/>
      </c>
      <c r="X71" s="55" t="str">
        <f t="shared" si="19"/>
        <v/>
      </c>
      <c r="Y71" s="55" t="str">
        <f t="shared" si="20"/>
        <v/>
      </c>
      <c r="Z71" s="55" t="str">
        <f t="shared" si="21"/>
        <v/>
      </c>
      <c r="AA71" s="55" t="str">
        <f t="shared" si="22"/>
        <v/>
      </c>
      <c r="AB71" s="55" t="str">
        <f t="shared" si="23"/>
        <v/>
      </c>
      <c r="AC71" s="56" t="str">
        <f t="shared" si="24"/>
        <v/>
      </c>
      <c r="AD71" s="79" t="str">
        <f t="shared" si="25"/>
        <v/>
      </c>
      <c r="AE71" s="59" t="str">
        <f t="shared" si="26"/>
        <v/>
      </c>
      <c r="AF71" s="55" t="str" cm="1">
        <f t="array" ref="AF71">IFERROR(IF(AD71&gt;Lookups!$I$5-1,AVERAGE(LARGE(V71:AC71,_xlfn.SEQUENCE(Lookups!$I$5))),AVERAGE(LARGE(V71:AC71,_xlfn.SEQUENCE(AD71)))),"")</f>
        <v/>
      </c>
      <c r="AG71" s="124" t="str">
        <f t="shared" si="27"/>
        <v/>
      </c>
      <c r="AH71" s="78" t="str">
        <f>IF(AD71=Lookups!$I$5+1,LARGE(V71:AC71,5),"")</f>
        <v/>
      </c>
      <c r="AI71" s="78" t="str">
        <f>IF(AD71=Lookups!$I$5+2,LARGE(V71:AC71,6),"")</f>
        <v/>
      </c>
      <c r="AJ71" s="78"/>
      <c r="AK71" s="78"/>
      <c r="AL71" s="140" t="str">
        <f t="shared" ref="AL71:AL120" si="37">IF(SUM(AM71:AP71)=0,"",SUM(AM71:AP71))</f>
        <v/>
      </c>
      <c r="AM71" s="134" t="str">
        <f>IF(OR(AD71=0,AD71=""),"",IF(COUNTIFS($AR$6:$AR$177,"&gt;"&amp;AR71)+COUNTIFS(AR$6:AR71,"="&amp;AR71)=0,"",COUNTIFS($AR$6:$AR$177,"&gt;"&amp;AR71)+COUNTIFS(AR$6:AR71,"="&amp;AR71)))</f>
        <v/>
      </c>
      <c r="AN71" s="134" t="str">
        <f>IFERROR(IF(OR(AD71=0,AD71=""),"",IF(COUNTIFS($AS$6:$AS$177,"&gt;"&amp;AS71)+COUNTIFS(AS$6:AS71,"="&amp;AS71)=0,"",COUNTIFS($AS$6:$AS$177,"&gt;"&amp;AS71)+COUNTIFS(AS$6:AS71,"="&amp;AS71)+$AM$5)),"")</f>
        <v/>
      </c>
      <c r="AO71" s="134" t="str">
        <f>IFERROR(IF(OR(AD71=0,AD71=""),"",IF(COUNTIFS($AT$6:$AT$177,"&gt;"&amp;AT71)+COUNTIFS(AT$6:AT71,"="&amp;AT71)=0,"",COUNTIFS($AT$6:$AT$177,"&gt;"&amp;AT71)+COUNTIFS(AT$6:AT71,"="&amp;AT71)+$AN$5)),"")</f>
        <v/>
      </c>
      <c r="AP71" s="134" t="str">
        <f>IFERROR(IF(OR(AD71=0,AD71=""),"",IF(COUNTIFS($AU$6:$AU$177,"&gt;"&amp;AU71)+COUNTIFS(AU$6:AU71,"="&amp;AU71)=0,"",COUNTIFS($AU$6:$AU$177,"&gt;"&amp;AU71)+COUNTIFS(AU$6:AU71,"="&amp;AU71)+$AO$5)),"")</f>
        <v/>
      </c>
      <c r="AQ71" s="134" t="str">
        <f>IFERROR(IF(OR(AD71=0,AD71=""),"",IF(COUNTIFS($AV$6:$AV$177,"&gt;"&amp;AV71)+COUNTIFS(AV$6:AV71,"="&amp;AV71)=0,"",COUNTIFS($AV$6:$AV$177,"&gt;"&amp;AV71)+COUNTIFS(AV$6:AV71,"="&amp;AV71)+$AP$5)),"")</f>
        <v/>
      </c>
      <c r="AR71" s="78" t="str">
        <f t="shared" ref="AR71:AR120" si="38">IF(AD71&gt;=$AR$5,AF71,"")</f>
        <v/>
      </c>
      <c r="AS71" s="78" t="str">
        <f t="shared" ref="AS71:AS120" si="39">IF(AD71=$AS$5,AF71,"")</f>
        <v/>
      </c>
      <c r="AT71" s="78" t="str">
        <f t="shared" ref="AT71:AT120" si="40">IF(AD71=$AT$5,AF71,"")</f>
        <v/>
      </c>
      <c r="AU71" s="78" t="str">
        <f t="shared" ref="AU71:AU120" si="41">IF(AD71=$AU$5,AF71,"")</f>
        <v/>
      </c>
      <c r="AV71" s="78" t="str">
        <f t="shared" ref="AV71:AV120" si="42">IF(AD71=$AV$5,AF71,"")</f>
        <v/>
      </c>
    </row>
    <row r="72" spans="1:48" ht="16.5" customHeight="1" x14ac:dyDescent="0.3">
      <c r="A72" t="str">
        <f>IF(AD72="","",COUNTIFS($H$6:$H$120,H72,$AF$6:$AF$120,"&gt;"&amp;AF72)+COUNTIFS(H72:$H$120,H72,AF72:$AF$120,AF72))</f>
        <v/>
      </c>
      <c r="C72" t="str">
        <f t="shared" si="36"/>
        <v/>
      </c>
      <c r="D72" t="str">
        <f>IF(AG72=0,"",IF(COUNTIFS($AG$6:$AG$177,"&gt;"&amp;AG72)+COUNTIFS(AG$6:AG72,"="&amp;AG72)=0,"",COUNTIFS($AG$6:$AG$177,"&gt;"&amp;AG72)+COUNTIFS(AG$6:AG72,"="&amp;AG72)))</f>
        <v/>
      </c>
      <c r="F72" s="17" t="s">
        <v>100</v>
      </c>
      <c r="G72" s="109">
        <f>IFERROR(IF(VLOOKUP(F72,Lookups!$A$2:$F$111,2,FALSE)="","",VLOOKUP(F72,Lookups!$A$2:$F$111,2,FALSE)),"")</f>
        <v>1879</v>
      </c>
      <c r="H72" s="109" t="str">
        <f>IFERROR(IF(VLOOKUP(F72,Lookups!$A$2:$F$111,3,FALSE)="","",VLOOKUP(F72,Lookups!$A$2:$F$111,3,FALSE)),"")</f>
        <v>C</v>
      </c>
      <c r="I72" s="109" t="str">
        <f>IFERROR(IF(AF72=0,"",VLOOKUP(AF72,Lookups!$K$2:$L$6,2,TRUE)),"")</f>
        <v/>
      </c>
      <c r="J72" s="109" t="str">
        <f>IF(AD72&lt;Lookups!$I$5,"Y","N")</f>
        <v>N</v>
      </c>
      <c r="K72" s="109" t="str">
        <f>IFERROR(IF(VLOOKUP(F72,Lookups!$A$2:$F$111,4,FALSE)="","",VLOOKUP(F72,Lookups!$A$2:$F$111,4,FALSE)),"")</f>
        <v>PCP</v>
      </c>
      <c r="L72" s="109" t="str">
        <f>IFERROR(IF(VLOOKUP(F72,Lookups!$A$2:$F$111,5,FALSE)="","",VLOOKUP(F72,Lookups!$A$2:$F$111,5,FALSE)),"")</f>
        <v>Newbury</v>
      </c>
      <c r="M72" s="110" t="str">
        <f>IFERROR(IF(VLOOKUP(F72,Lookups!$A$2:$F$111,6,FALSE)="","",VLOOKUP(F72,Lookups!$A$2:$F$111,6,FALSE)),"")</f>
        <v/>
      </c>
      <c r="N72" s="57" t="str">
        <f>IFERROR(IF(VLOOKUP(F72,Scores!$A$1:$I$99,2,FALSE)="","",VLOOKUP(F72,Scores!$A$1:$I$99,2,FALSE)),"")</f>
        <v/>
      </c>
      <c r="O72" s="58" t="str">
        <f>IFERROR(IF(VLOOKUP(F72,Scores!$A$1:$I$99,3,FALSE)="","",VLOOKUP(F72,Scores!$A$1:$I$99,3,FALSE)),"")</f>
        <v/>
      </c>
      <c r="P72" s="58" t="str">
        <f>IFERROR(IF(VLOOKUP(F72,Scores!$A$1:$I$99,4,FALSE)="","",VLOOKUP(F72,Scores!$A$1:$I$99,4,FALSE)),"")</f>
        <v/>
      </c>
      <c r="Q72" s="58" t="str">
        <f>IFERROR(IF(VLOOKUP(F72,Scores!$A$1:$I$99,5,FALSE)="","",VLOOKUP(F72,Scores!$A$1:$I$99,5,FALSE)),"")</f>
        <v/>
      </c>
      <c r="R72" s="58" t="str">
        <f>IFERROR(IF(VLOOKUP(F72,Scores!$A$1:$I$99,6,FALSE)="","",VLOOKUP(F72,Scores!$A$1:$I$99,6,FALSE)),"")</f>
        <v/>
      </c>
      <c r="S72" s="58" t="str">
        <f>IFERROR(IF(VLOOKUP(F72,Scores!$A$1:$I$99,7,FALSE)="","",VLOOKUP(F72,Scores!$A$1:$I$99,7,FALSE)),"")</f>
        <v/>
      </c>
      <c r="T72" s="58" t="str">
        <f>IFERROR(IF(VLOOKUP(F72,Scores!$A$1:$I$99,8,FALSE)="","",VLOOKUP(F72,Scores!$A$1:$I$99,8,FALSE)),"")</f>
        <v/>
      </c>
      <c r="U72" s="60" t="str">
        <f>IFERROR(IF(VLOOKUP(F72,Scores!$A$1:$I$99,9,FALSE)="","",VLOOKUP(F72,Scores!$A$1:$I$99,9,FALSE)),"")</f>
        <v/>
      </c>
      <c r="V72" s="54" t="str">
        <f t="shared" ref="V72:V140" si="43">IFERROR(IF(F72="","",N72/$N$4),"")</f>
        <v/>
      </c>
      <c r="W72" s="55" t="str">
        <f t="shared" ref="W72:W140" si="44">IFERROR(IF(F72="","",O72/$O$4),"")</f>
        <v/>
      </c>
      <c r="X72" s="55" t="str">
        <f t="shared" ref="X72:X140" si="45">IFERROR(IF(F72="","",P72/$P$4),"")</f>
        <v/>
      </c>
      <c r="Y72" s="55" t="str">
        <f t="shared" ref="Y72:Y140" si="46">IFERROR(IF(F72="","",Q72/$Q$4),"")</f>
        <v/>
      </c>
      <c r="Z72" s="55" t="str">
        <f t="shared" ref="Z72:Z140" si="47">IFERROR(IF(F72="","",R72/$R$4),"")</f>
        <v/>
      </c>
      <c r="AA72" s="55" t="str">
        <f t="shared" ref="AA72:AA140" si="48">IFERROR(IF(F72="","",S72/$S$4),"")</f>
        <v/>
      </c>
      <c r="AB72" s="55" t="str">
        <f t="shared" ref="AB72:AB140" si="49">IFERROR(IF(F72="","",T72/$T$4),"")</f>
        <v/>
      </c>
      <c r="AC72" s="56" t="str">
        <f t="shared" ref="AC72:AC140" si="50">IFERROR(IF(F72="","",U72/$U$4),"")</f>
        <v/>
      </c>
      <c r="AD72" s="79" t="str">
        <f t="shared" ref="AD72:AD140" si="51">IF(COUNT(N72:U72)=0,"",COUNT(N72:U72))</f>
        <v/>
      </c>
      <c r="AE72" s="59" t="str">
        <f t="shared" ref="AE72:AE140" si="52">IFERROR(AVERAGE(V72:AC72),"")</f>
        <v/>
      </c>
      <c r="AF72" s="55" t="str" cm="1">
        <f t="array" ref="AF72">IFERROR(IF(AD72&gt;Lookups!$I$5-1,AVERAGE(LARGE(V72:AC72,_xlfn.SEQUENCE(Lookups!$I$5))),AVERAGE(LARGE(V72:AC72,_xlfn.SEQUENCE(AD72)))),"")</f>
        <v/>
      </c>
      <c r="AG72" s="124" t="str">
        <f t="shared" ref="AG72:AG140" si="53">IF(SUM(N72:U72)=0,"",SUM(N72:U72))</f>
        <v/>
      </c>
      <c r="AH72" s="78" t="str">
        <f>IF(AD72=Lookups!$I$5+1,LARGE(V72:AC72,5),"")</f>
        <v/>
      </c>
      <c r="AI72" s="78" t="str">
        <f>IF(AD72=Lookups!$I$5+2,LARGE(V72:AC72,6),"")</f>
        <v/>
      </c>
      <c r="AJ72" s="78"/>
      <c r="AK72" s="78"/>
      <c r="AL72" s="140" t="str">
        <f t="shared" si="37"/>
        <v/>
      </c>
      <c r="AM72" s="134" t="str">
        <f>IF(OR(AD72=0,AD72=""),"",IF(COUNTIFS($AR$6:$AR$177,"&gt;"&amp;AR72)+COUNTIFS(AR$6:AR72,"="&amp;AR72)=0,"",COUNTIFS($AR$6:$AR$177,"&gt;"&amp;AR72)+COUNTIFS(AR$6:AR72,"="&amp;AR72)))</f>
        <v/>
      </c>
      <c r="AN72" s="134" t="str">
        <f>IFERROR(IF(OR(AD72=0,AD72=""),"",IF(COUNTIFS($AS$6:$AS$177,"&gt;"&amp;AS72)+COUNTIFS(AS$6:AS72,"="&amp;AS72)=0,"",COUNTIFS($AS$6:$AS$177,"&gt;"&amp;AS72)+COUNTIFS(AS$6:AS72,"="&amp;AS72)+$AM$5)),"")</f>
        <v/>
      </c>
      <c r="AO72" s="134" t="str">
        <f>IFERROR(IF(OR(AD72=0,AD72=""),"",IF(COUNTIFS($AT$6:$AT$177,"&gt;"&amp;AT72)+COUNTIFS(AT$6:AT72,"="&amp;AT72)=0,"",COUNTIFS($AT$6:$AT$177,"&gt;"&amp;AT72)+COUNTIFS(AT$6:AT72,"="&amp;AT72)+$AN$5)),"")</f>
        <v/>
      </c>
      <c r="AP72" s="134" t="str">
        <f>IFERROR(IF(OR(AD72=0,AD72=""),"",IF(COUNTIFS($AU$6:$AU$177,"&gt;"&amp;AU72)+COUNTIFS(AU$6:AU72,"="&amp;AU72)=0,"",COUNTIFS($AU$6:$AU$177,"&gt;"&amp;AU72)+COUNTIFS(AU$6:AU72,"="&amp;AU72)+$AO$5)),"")</f>
        <v/>
      </c>
      <c r="AQ72" s="134" t="str">
        <f>IFERROR(IF(OR(AD72=0,AD72=""),"",IF(COUNTIFS($AV$6:$AV$177,"&gt;"&amp;AV72)+COUNTIFS(AV$6:AV72,"="&amp;AV72)=0,"",COUNTIFS($AV$6:$AV$177,"&gt;"&amp;AV72)+COUNTIFS(AV$6:AV72,"="&amp;AV72)+$AP$5)),"")</f>
        <v/>
      </c>
      <c r="AR72" s="78" t="str">
        <f t="shared" si="38"/>
        <v/>
      </c>
      <c r="AS72" s="78" t="str">
        <f t="shared" si="39"/>
        <v/>
      </c>
      <c r="AT72" s="78" t="str">
        <f t="shared" si="40"/>
        <v/>
      </c>
      <c r="AU72" s="78" t="str">
        <f t="shared" si="41"/>
        <v/>
      </c>
      <c r="AV72" s="78" t="str">
        <f t="shared" si="42"/>
        <v/>
      </c>
    </row>
    <row r="73" spans="1:48" ht="16.5" customHeight="1" x14ac:dyDescent="0.3">
      <c r="A73" t="str">
        <f>IF(AD73="","",COUNTIFS($H$6:$H$120,H73,$AF$6:$AF$120,"&gt;"&amp;AF73)+COUNTIFS(H73:$H$120,H73,AF73:$AF$120,AF73))</f>
        <v/>
      </c>
      <c r="C73" t="str">
        <f t="shared" si="36"/>
        <v/>
      </c>
      <c r="D73" t="str">
        <f>IF(AG73=0,"",IF(COUNTIFS($AG$6:$AG$177,"&gt;"&amp;AG73)+COUNTIFS(AG$6:AG73,"="&amp;AG73)=0,"",COUNTIFS($AG$6:$AG$177,"&gt;"&amp;AG73)+COUNTIFS(AG$6:AG73,"="&amp;AG73)))</f>
        <v/>
      </c>
      <c r="F73" s="17" t="s">
        <v>101</v>
      </c>
      <c r="G73" s="109">
        <f>IFERROR(IF(VLOOKUP(F73,Lookups!$A$2:$F$111,2,FALSE)="","",VLOOKUP(F73,Lookups!$A$2:$F$111,2,FALSE)),"")</f>
        <v>1880</v>
      </c>
      <c r="H73" s="109" t="str">
        <f>IFERROR(IF(VLOOKUP(F73,Lookups!$A$2:$F$111,3,FALSE)="","",VLOOKUP(F73,Lookups!$A$2:$F$111,3,FALSE)),"")</f>
        <v>C</v>
      </c>
      <c r="I73" s="109" t="str">
        <f>IFERROR(IF(AF73=0,"",VLOOKUP(AF73,Lookups!$K$2:$L$6,2,TRUE)),"")</f>
        <v/>
      </c>
      <c r="J73" s="109" t="str">
        <f>IF(AD73&lt;Lookups!$I$5,"Y","N")</f>
        <v>N</v>
      </c>
      <c r="K73" s="109" t="str">
        <f>IFERROR(IF(VLOOKUP(F73,Lookups!$A$2:$F$111,4,FALSE)="","",VLOOKUP(F73,Lookups!$A$2:$F$111,4,FALSE)),"")</f>
        <v>PCP</v>
      </c>
      <c r="L73" s="109" t="str">
        <f>IFERROR(IF(VLOOKUP(F73,Lookups!$A$2:$F$111,5,FALSE)="","",VLOOKUP(F73,Lookups!$A$2:$F$111,5,FALSE)),"")</f>
        <v>Newbury</v>
      </c>
      <c r="M73" s="110" t="str">
        <f>IFERROR(IF(VLOOKUP(F73,Lookups!$A$2:$F$111,6,FALSE)="","",VLOOKUP(F73,Lookups!$A$2:$F$111,6,FALSE)),"")</f>
        <v/>
      </c>
      <c r="N73" s="57" t="str">
        <f>IFERROR(IF(VLOOKUP(F73,Scores!$A$1:$I$99,2,FALSE)="","",VLOOKUP(F73,Scores!$A$1:$I$99,2,FALSE)),"")</f>
        <v/>
      </c>
      <c r="O73" s="58" t="str">
        <f>IFERROR(IF(VLOOKUP(F73,Scores!$A$1:$I$99,3,FALSE)="","",VLOOKUP(F73,Scores!$A$1:$I$99,3,FALSE)),"")</f>
        <v/>
      </c>
      <c r="P73" s="58" t="str">
        <f>IFERROR(IF(VLOOKUP(F73,Scores!$A$1:$I$99,4,FALSE)="","",VLOOKUP(F73,Scores!$A$1:$I$99,4,FALSE)),"")</f>
        <v/>
      </c>
      <c r="Q73" s="58" t="str">
        <f>IFERROR(IF(VLOOKUP(F73,Scores!$A$1:$I$99,5,FALSE)="","",VLOOKUP(F73,Scores!$A$1:$I$99,5,FALSE)),"")</f>
        <v/>
      </c>
      <c r="R73" s="58" t="str">
        <f>IFERROR(IF(VLOOKUP(F73,Scores!$A$1:$I$99,6,FALSE)="","",VLOOKUP(F73,Scores!$A$1:$I$99,6,FALSE)),"")</f>
        <v/>
      </c>
      <c r="S73" s="58" t="str">
        <f>IFERROR(IF(VLOOKUP(F73,Scores!$A$1:$I$99,7,FALSE)="","",VLOOKUP(F73,Scores!$A$1:$I$99,7,FALSE)),"")</f>
        <v/>
      </c>
      <c r="T73" s="58" t="str">
        <f>IFERROR(IF(VLOOKUP(F73,Scores!$A$1:$I$99,8,FALSE)="","",VLOOKUP(F73,Scores!$A$1:$I$99,8,FALSE)),"")</f>
        <v/>
      </c>
      <c r="U73" s="60" t="str">
        <f>IFERROR(IF(VLOOKUP(F73,Scores!$A$1:$I$99,9,FALSE)="","",VLOOKUP(F73,Scores!$A$1:$I$99,9,FALSE)),"")</f>
        <v/>
      </c>
      <c r="V73" s="54" t="str">
        <f t="shared" si="43"/>
        <v/>
      </c>
      <c r="W73" s="55" t="str">
        <f t="shared" si="44"/>
        <v/>
      </c>
      <c r="X73" s="55" t="str">
        <f t="shared" si="45"/>
        <v/>
      </c>
      <c r="Y73" s="55" t="str">
        <f t="shared" si="46"/>
        <v/>
      </c>
      <c r="Z73" s="55" t="str">
        <f t="shared" si="47"/>
        <v/>
      </c>
      <c r="AA73" s="55" t="str">
        <f t="shared" si="48"/>
        <v/>
      </c>
      <c r="AB73" s="55" t="str">
        <f t="shared" si="49"/>
        <v/>
      </c>
      <c r="AC73" s="56" t="str">
        <f t="shared" si="50"/>
        <v/>
      </c>
      <c r="AD73" s="79" t="str">
        <f t="shared" si="51"/>
        <v/>
      </c>
      <c r="AE73" s="59" t="str">
        <f t="shared" si="52"/>
        <v/>
      </c>
      <c r="AF73" s="55" t="str" cm="1">
        <f t="array" ref="AF73">IFERROR(IF(AD73&gt;Lookups!$I$5-1,AVERAGE(LARGE(V73:AC73,_xlfn.SEQUENCE(Lookups!$I$5))),AVERAGE(LARGE(V73:AC73,_xlfn.SEQUENCE(AD73)))),"")</f>
        <v/>
      </c>
      <c r="AG73" s="124" t="str">
        <f t="shared" si="53"/>
        <v/>
      </c>
      <c r="AH73" s="78" t="str">
        <f>IF(AD73=Lookups!$I$5+1,LARGE(V73:AC73,5),"")</f>
        <v/>
      </c>
      <c r="AI73" s="78" t="str">
        <f>IF(AD73=Lookups!$I$5+2,LARGE(V73:AC73,6),"")</f>
        <v/>
      </c>
      <c r="AJ73" s="78"/>
      <c r="AK73" s="78"/>
      <c r="AL73" s="140" t="str">
        <f t="shared" si="37"/>
        <v/>
      </c>
      <c r="AM73" s="134" t="str">
        <f>IF(OR(AD73=0,AD73=""),"",IF(COUNTIFS($AR$6:$AR$177,"&gt;"&amp;AR73)+COUNTIFS(AR$6:AR73,"="&amp;AR73)=0,"",COUNTIFS($AR$6:$AR$177,"&gt;"&amp;AR73)+COUNTIFS(AR$6:AR73,"="&amp;AR73)))</f>
        <v/>
      </c>
      <c r="AN73" s="134" t="str">
        <f>IFERROR(IF(OR(AD73=0,AD73=""),"",IF(COUNTIFS($AS$6:$AS$177,"&gt;"&amp;AS73)+COUNTIFS(AS$6:AS73,"="&amp;AS73)=0,"",COUNTIFS($AS$6:$AS$177,"&gt;"&amp;AS73)+COUNTIFS(AS$6:AS73,"="&amp;AS73)+$AM$5)),"")</f>
        <v/>
      </c>
      <c r="AO73" s="134" t="str">
        <f>IFERROR(IF(OR(AD73=0,AD73=""),"",IF(COUNTIFS($AT$6:$AT$177,"&gt;"&amp;AT73)+COUNTIFS(AT$6:AT73,"="&amp;AT73)=0,"",COUNTIFS($AT$6:$AT$177,"&gt;"&amp;AT73)+COUNTIFS(AT$6:AT73,"="&amp;AT73)+$AN$5)),"")</f>
        <v/>
      </c>
      <c r="AP73" s="134" t="str">
        <f>IFERROR(IF(OR(AD73=0,AD73=""),"",IF(COUNTIFS($AU$6:$AU$177,"&gt;"&amp;AU73)+COUNTIFS(AU$6:AU73,"="&amp;AU73)=0,"",COUNTIFS($AU$6:$AU$177,"&gt;"&amp;AU73)+COUNTIFS(AU$6:AU73,"="&amp;AU73)+$AO$5)),"")</f>
        <v/>
      </c>
      <c r="AQ73" s="134" t="str">
        <f>IFERROR(IF(OR(AD73=0,AD73=""),"",IF(COUNTIFS($AV$6:$AV$177,"&gt;"&amp;AV73)+COUNTIFS(AV$6:AV73,"="&amp;AV73)=0,"",COUNTIFS($AV$6:$AV$177,"&gt;"&amp;AV73)+COUNTIFS(AV$6:AV73,"="&amp;AV73)+$AP$5)),"")</f>
        <v/>
      </c>
      <c r="AR73" s="78" t="str">
        <f t="shared" si="38"/>
        <v/>
      </c>
      <c r="AS73" s="78" t="str">
        <f t="shared" si="39"/>
        <v/>
      </c>
      <c r="AT73" s="78" t="str">
        <f t="shared" si="40"/>
        <v/>
      </c>
      <c r="AU73" s="78" t="str">
        <f t="shared" si="41"/>
        <v/>
      </c>
      <c r="AV73" s="78" t="str">
        <f t="shared" si="42"/>
        <v/>
      </c>
    </row>
    <row r="74" spans="1:48" ht="16.5" customHeight="1" x14ac:dyDescent="0.3">
      <c r="A74">
        <f>IF(AD74="","",COUNTIFS($H$6:$H$120,H74,$AF$6:$AF$120,"&gt;"&amp;AF74)+COUNTIFS(H74:$H$120,H74,AF74:$AF$120,AF74))</f>
        <v>5</v>
      </c>
      <c r="C74">
        <f t="shared" si="36"/>
        <v>33</v>
      </c>
      <c r="D74">
        <f>IF(AG74=0,"",IF(COUNTIFS($AG$6:$AG$177,"&gt;"&amp;AG74)+COUNTIFS(AG$6:AG74,"="&amp;AG74)=0,"",COUNTIFS($AG$6:$AG$177,"&gt;"&amp;AG74)+COUNTIFS(AG$6:AG74,"="&amp;AG74)))</f>
        <v>32</v>
      </c>
      <c r="F74" s="17" t="s">
        <v>62</v>
      </c>
      <c r="G74" s="109">
        <f>IFERROR(IF(VLOOKUP(F74,Lookups!$A$2:$F$111,2,FALSE)="","",VLOOKUP(F74,Lookups!$A$2:$F$111,2,FALSE)),"")</f>
        <v>1513</v>
      </c>
      <c r="H74" s="109" t="str">
        <f>IFERROR(IF(VLOOKUP(F74,Lookups!$A$2:$F$111,3,FALSE)="","",VLOOKUP(F74,Lookups!$A$2:$F$111,3,FALSE)),"")</f>
        <v>C</v>
      </c>
      <c r="I74" s="109" t="str">
        <f>IFERROR(IF(AF74=0,"",VLOOKUP(AF74,Lookups!$K$2:$L$6,2,TRUE)),"")</f>
        <v>C</v>
      </c>
      <c r="J74" s="109" t="str">
        <f>IF(AD74&lt;Lookups!$I$5,"Y","N")</f>
        <v>Y</v>
      </c>
      <c r="K74" s="109" t="str">
        <f>IFERROR(IF(VLOOKUP(F74,Lookups!$A$2:$F$111,4,FALSE)="","",VLOOKUP(F74,Lookups!$A$2:$F$111,4,FALSE)),"")</f>
        <v>Piston</v>
      </c>
      <c r="L74" s="109" t="str">
        <f>IFERROR(IF(VLOOKUP(F74,Lookups!$A$2:$F$111,5,FALSE)="","",VLOOKUP(F74,Lookups!$A$2:$F$111,5,FALSE)),"")</f>
        <v>Newbury</v>
      </c>
      <c r="M74" s="110" t="str">
        <f>IFERROR(IF(VLOOKUP(F74,Lookups!$A$2:$F$111,6,FALSE)="","",VLOOKUP(F74,Lookups!$A$2:$F$111,6,FALSE)),"")</f>
        <v>Newbury</v>
      </c>
      <c r="N74" s="57" t="str">
        <f>IFERROR(IF(VLOOKUP(F74,Scores!$A$1:$I$99,2,FALSE)="","",VLOOKUP(F74,Scores!$A$1:$I$99,2,FALSE)),"")</f>
        <v/>
      </c>
      <c r="O74" s="58" t="str">
        <f>IFERROR(IF(VLOOKUP(F74,Scores!$A$1:$I$99,3,FALSE)="","",VLOOKUP(F74,Scores!$A$1:$I$99,3,FALSE)),"")</f>
        <v/>
      </c>
      <c r="P74" s="58">
        <f>IFERROR(IF(VLOOKUP(F74,Scores!$A$1:$I$99,4,FALSE)="","",VLOOKUP(F74,Scores!$A$1:$I$99,4,FALSE)),"")</f>
        <v>26</v>
      </c>
      <c r="Q74" s="58">
        <f>IFERROR(IF(VLOOKUP(F74,Scores!$A$1:$I$99,5,FALSE)="","",VLOOKUP(F74,Scores!$A$1:$I$99,5,FALSE)),"")</f>
        <v>18</v>
      </c>
      <c r="R74" s="58">
        <f>IFERROR(IF(VLOOKUP(F74,Scores!$A$1:$I$99,6,FALSE)="","",VLOOKUP(F74,Scores!$A$1:$I$99,6,FALSE)),"")</f>
        <v>20</v>
      </c>
      <c r="S74" s="58" t="str">
        <f>IFERROR(IF(VLOOKUP(F74,Scores!$A$1:$I$99,7,FALSE)="","",VLOOKUP(F74,Scores!$A$1:$I$99,7,FALSE)),"")</f>
        <v/>
      </c>
      <c r="T74" s="58" t="str">
        <f>IFERROR(IF(VLOOKUP(F74,Scores!$A$1:$I$99,8,FALSE)="","",VLOOKUP(F74,Scores!$A$1:$I$99,8,FALSE)),"")</f>
        <v/>
      </c>
      <c r="U74" s="60" t="str">
        <f>IFERROR(IF(VLOOKUP(F74,Scores!$A$1:$I$99,9,FALSE)="","",VLOOKUP(F74,Scores!$A$1:$I$99,9,FALSE)),"")</f>
        <v/>
      </c>
      <c r="V74" s="54" t="str">
        <f t="shared" si="43"/>
        <v/>
      </c>
      <c r="W74" s="55" t="str">
        <f t="shared" si="44"/>
        <v/>
      </c>
      <c r="X74" s="55">
        <f t="shared" si="45"/>
        <v>0.70270270270270274</v>
      </c>
      <c r="Y74" s="55">
        <f t="shared" si="46"/>
        <v>0.5</v>
      </c>
      <c r="Z74" s="55">
        <f t="shared" si="47"/>
        <v>0.52631578947368418</v>
      </c>
      <c r="AA74" s="55" t="str">
        <f t="shared" si="48"/>
        <v/>
      </c>
      <c r="AB74" s="55" t="str">
        <f t="shared" si="49"/>
        <v/>
      </c>
      <c r="AC74" s="56" t="str">
        <f t="shared" si="50"/>
        <v/>
      </c>
      <c r="AD74" s="79">
        <f t="shared" si="51"/>
        <v>3</v>
      </c>
      <c r="AE74" s="59">
        <f t="shared" si="52"/>
        <v>0.57633949739212886</v>
      </c>
      <c r="AF74" s="55" cm="1">
        <f t="array" ref="AF74">IFERROR(IF(AD74&gt;Lookups!$I$5-1,AVERAGE(LARGE(V74:AC74,_xlfn.SEQUENCE(Lookups!$I$5))),AVERAGE(LARGE(V74:AC74,_xlfn.SEQUENCE(AD74)))),"")</f>
        <v>0.57633949739212897</v>
      </c>
      <c r="AG74" s="124">
        <f t="shared" si="53"/>
        <v>64</v>
      </c>
      <c r="AH74" s="78" t="str">
        <f>IF(AD74=Lookups!$I$5+1,LARGE(V74:AC74,5),"")</f>
        <v/>
      </c>
      <c r="AI74" s="78" t="str">
        <f>IF(AD74=Lookups!$I$5+2,LARGE(V74:AC74,6),"")</f>
        <v/>
      </c>
      <c r="AJ74" s="78"/>
      <c r="AK74" s="78"/>
      <c r="AL74" s="140">
        <f t="shared" si="37"/>
        <v>33</v>
      </c>
      <c r="AM74" s="134" t="str">
        <f>IF(OR(AD74=0,AD74=""),"",IF(COUNTIFS($AR$6:$AR$177,"&gt;"&amp;AR74)+COUNTIFS(AR$6:AR74,"="&amp;AR74)=0,"",COUNTIFS($AR$6:$AR$177,"&gt;"&amp;AR74)+COUNTIFS(AR$6:AR74,"="&amp;AR74)))</f>
        <v/>
      </c>
      <c r="AN74" s="134">
        <f>IFERROR(IF(OR(AD74=0,AD74=""),"",IF(COUNTIFS($AS$6:$AS$177,"&gt;"&amp;AS74)+COUNTIFS(AS$6:AS74,"="&amp;AS74)=0,"",COUNTIFS($AS$6:$AS$177,"&gt;"&amp;AS74)+COUNTIFS(AS$6:AS74,"="&amp;AS74)+$AM$5)),"")</f>
        <v>33</v>
      </c>
      <c r="AO74" s="134" t="str">
        <f>IFERROR(IF(OR(AD74=0,AD74=""),"",IF(COUNTIFS($AT$6:$AT$177,"&gt;"&amp;AT74)+COUNTIFS(AT$6:AT74,"="&amp;AT74)=0,"",COUNTIFS($AT$6:$AT$177,"&gt;"&amp;AT74)+COUNTIFS(AT$6:AT74,"="&amp;AT74)+$AN$5)),"")</f>
        <v/>
      </c>
      <c r="AP74" s="134" t="str">
        <f>IFERROR(IF(OR(AD74=0,AD74=""),"",IF(COUNTIFS($AU$6:$AU$177,"&gt;"&amp;AU74)+COUNTIFS(AU$6:AU74,"="&amp;AU74)=0,"",COUNTIFS($AU$6:$AU$177,"&gt;"&amp;AU74)+COUNTIFS(AU$6:AU74,"="&amp;AU74)+$AO$5)),"")</f>
        <v/>
      </c>
      <c r="AQ74" s="134" t="str">
        <f>IFERROR(IF(OR(AD74=0,AD74=""),"",IF(COUNTIFS($AV$6:$AV$177,"&gt;"&amp;AV74)+COUNTIFS(AV$6:AV74,"="&amp;AV74)=0,"",COUNTIFS($AV$6:$AV$177,"&gt;"&amp;AV74)+COUNTIFS(AV$6:AV74,"="&amp;AV74)+$AP$5)),"")</f>
        <v/>
      </c>
      <c r="AR74" s="78" t="str">
        <f t="shared" si="38"/>
        <v/>
      </c>
      <c r="AS74" s="78">
        <f t="shared" si="39"/>
        <v>0.57633949739212897</v>
      </c>
      <c r="AT74" s="78" t="str">
        <f t="shared" si="40"/>
        <v/>
      </c>
      <c r="AU74" s="78" t="str">
        <f t="shared" si="41"/>
        <v/>
      </c>
      <c r="AV74" s="78" t="str">
        <f t="shared" si="42"/>
        <v/>
      </c>
    </row>
    <row r="75" spans="1:48" ht="16.5" customHeight="1" x14ac:dyDescent="0.3">
      <c r="A75">
        <f>IF(AD75="","",COUNTIFS($H$6:$H$120,H75,$AF$6:$AF$120,"&gt;"&amp;AF75)+COUNTIFS(H75:$H$120,H75,AF75:$AF$120,AF75))</f>
        <v>3</v>
      </c>
      <c r="C75">
        <f t="shared" si="36"/>
        <v>25</v>
      </c>
      <c r="D75">
        <f>IF(AG75=0,"",IF(COUNTIFS($AG$6:$AG$177,"&gt;"&amp;AG75)+COUNTIFS(AG$6:AG75,"="&amp;AG75)=0,"",COUNTIFS($AG$6:$AG$177,"&gt;"&amp;AG75)+COUNTIFS(AG$6:AG75,"="&amp;AG75)))</f>
        <v>17</v>
      </c>
      <c r="F75" s="22" t="s">
        <v>67</v>
      </c>
      <c r="G75" s="109">
        <f>IFERROR(IF(VLOOKUP(F75,Lookups!$A$2:$F$111,2,FALSE)="","",VLOOKUP(F75,Lookups!$A$2:$F$111,2,FALSE)),"")</f>
        <v>1883</v>
      </c>
      <c r="H75" s="109" t="str">
        <f>IFERROR(IF(VLOOKUP(F75,Lookups!$A$2:$F$111,3,FALSE)="","",VLOOKUP(F75,Lookups!$A$2:$F$111,3,FALSE)),"")</f>
        <v>C</v>
      </c>
      <c r="I75" s="109" t="str">
        <f>IFERROR(IF(AF75=0,"",VLOOKUP(AF75,Lookups!$K$2:$L$6,2,TRUE)),"")</f>
        <v>B</v>
      </c>
      <c r="J75" s="109" t="str">
        <f>IF(AD75&lt;Lookups!$I$5,"Y","N")</f>
        <v>N</v>
      </c>
      <c r="K75" s="109" t="str">
        <f>IFERROR(IF(VLOOKUP(F75,Lookups!$A$2:$F$111,4,FALSE)="","",VLOOKUP(F75,Lookups!$A$2:$F$111,4,FALSE)),"")</f>
        <v>PCP</v>
      </c>
      <c r="L75" s="109" t="str">
        <f>IFERROR(IF(VLOOKUP(F75,Lookups!$A$2:$F$111,5,FALSE)="","",VLOOKUP(F75,Lookups!$A$2:$F$111,5,FALSE)),"")</f>
        <v>Carisbrooke</v>
      </c>
      <c r="M75" s="110" t="str">
        <f>IFERROR(IF(VLOOKUP(F75,Lookups!$A$2:$F$111,6,FALSE)="","",VLOOKUP(F75,Lookups!$A$2:$F$111,6,FALSE)),"")</f>
        <v>Carisbrooke TRex's</v>
      </c>
      <c r="N75" s="57">
        <f>IFERROR(IF(VLOOKUP(F75,Scores!$A$1:$I$99,2,FALSE)="","",VLOOKUP(F75,Scores!$A$1:$I$99,2,FALSE)),"")</f>
        <v>21</v>
      </c>
      <c r="O75" s="58">
        <f>IFERROR(IF(VLOOKUP(F75,Scores!$A$1:$I$99,3,FALSE)="","",VLOOKUP(F75,Scores!$A$1:$I$99,3,FALSE)),"")</f>
        <v>20</v>
      </c>
      <c r="P75" s="58">
        <f>IFERROR(IF(VLOOKUP(F75,Scores!$A$1:$I$99,4,FALSE)="","",VLOOKUP(F75,Scores!$A$1:$I$99,4,FALSE)),"")</f>
        <v>27</v>
      </c>
      <c r="Q75" s="58">
        <f>IFERROR(IF(VLOOKUP(F75,Scores!$A$1:$I$99,5,FALSE)="","",VLOOKUP(F75,Scores!$A$1:$I$99,5,FALSE)),"")</f>
        <v>22</v>
      </c>
      <c r="R75" s="58">
        <f>IFERROR(IF(VLOOKUP(F75,Scores!$A$1:$I$99,6,FALSE)="","",VLOOKUP(F75,Scores!$A$1:$I$99,6,FALSE)),"")</f>
        <v>23</v>
      </c>
      <c r="S75" s="58">
        <f>IFERROR(IF(VLOOKUP(F75,Scores!$A$1:$I$99,7,FALSE)="","",VLOOKUP(F75,Scores!$A$1:$I$99,7,FALSE)),"")</f>
        <v>23</v>
      </c>
      <c r="T75" s="58" t="str">
        <f>IFERROR(IF(VLOOKUP(F75,Scores!$A$1:$I$99,8,FALSE)="","",VLOOKUP(F75,Scores!$A$1:$I$99,8,FALSE)),"")</f>
        <v/>
      </c>
      <c r="U75" s="60" t="str">
        <f>IFERROR(IF(VLOOKUP(F75,Scores!$A$1:$I$99,9,FALSE)="","",VLOOKUP(F75,Scores!$A$1:$I$99,9,FALSE)),"")</f>
        <v/>
      </c>
      <c r="V75" s="54">
        <f t="shared" si="43"/>
        <v>0.56756756756756754</v>
      </c>
      <c r="W75" s="55">
        <f t="shared" si="44"/>
        <v>0.64516129032258063</v>
      </c>
      <c r="X75" s="55">
        <f t="shared" si="45"/>
        <v>0.72972972972972971</v>
      </c>
      <c r="Y75" s="55">
        <f t="shared" si="46"/>
        <v>0.61111111111111116</v>
      </c>
      <c r="Z75" s="55">
        <f t="shared" si="47"/>
        <v>0.60526315789473684</v>
      </c>
      <c r="AA75" s="55">
        <f t="shared" si="48"/>
        <v>0.6216216216216216</v>
      </c>
      <c r="AB75" s="55" t="str">
        <f t="shared" si="49"/>
        <v/>
      </c>
      <c r="AC75" s="56" t="str">
        <f t="shared" si="50"/>
        <v/>
      </c>
      <c r="AD75" s="79">
        <f t="shared" si="51"/>
        <v>6</v>
      </c>
      <c r="AE75" s="59">
        <f t="shared" si="52"/>
        <v>0.63007574637455788</v>
      </c>
      <c r="AF75" s="55" cm="1">
        <f t="array" ref="AF75">IFERROR(IF(AD75&gt;Lookups!$I$5-1,AVERAGE(LARGE(V75:AC75,_xlfn.SEQUENCE(Lookups!$I$5))),AVERAGE(LARGE(V75:AC75,_xlfn.SEQUENCE(AD75)))),"")</f>
        <v>0.65190593819626075</v>
      </c>
      <c r="AG75" s="124">
        <f t="shared" si="53"/>
        <v>136</v>
      </c>
      <c r="AH75" s="78" t="str">
        <f>IF(AD75=Lookups!$I$5+1,LARGE(V75:AC75,5),"")</f>
        <v/>
      </c>
      <c r="AI75" s="78">
        <f>IF(AD75=Lookups!$I$5+2,LARGE(V75:AC75,6),"")</f>
        <v>0.56756756756756754</v>
      </c>
      <c r="AJ75" s="78"/>
      <c r="AK75" s="78"/>
      <c r="AL75" s="140">
        <f t="shared" si="37"/>
        <v>25</v>
      </c>
      <c r="AM75" s="134">
        <f>IF(OR(AD75=0,AD75=""),"",IF(COUNTIFS($AR$6:$AR$177,"&gt;"&amp;AR75)+COUNTIFS(AR$6:AR75,"="&amp;AR75)=0,"",COUNTIFS($AR$6:$AR$177,"&gt;"&amp;AR75)+COUNTIFS(AR$6:AR75,"="&amp;AR75)))</f>
        <v>25</v>
      </c>
      <c r="AN75" s="134" t="str">
        <f>IFERROR(IF(OR(AD75=0,AD75=""),"",IF(COUNTIFS($AS$6:$AS$177,"&gt;"&amp;AS75)+COUNTIFS(AS$6:AS75,"="&amp;AS75)=0,"",COUNTIFS($AS$6:$AS$177,"&gt;"&amp;AS75)+COUNTIFS(AS$6:AS75,"="&amp;AS75)+$AM$5)),"")</f>
        <v/>
      </c>
      <c r="AO75" s="134" t="str">
        <f>IFERROR(IF(OR(AD75=0,AD75=""),"",IF(COUNTIFS($AT$6:$AT$177,"&gt;"&amp;AT75)+COUNTIFS(AT$6:AT75,"="&amp;AT75)=0,"",COUNTIFS($AT$6:$AT$177,"&gt;"&amp;AT75)+COUNTIFS(AT$6:AT75,"="&amp;AT75)+$AN$5)),"")</f>
        <v/>
      </c>
      <c r="AP75" s="134" t="str">
        <f>IFERROR(IF(OR(AD75=0,AD75=""),"",IF(COUNTIFS($AU$6:$AU$177,"&gt;"&amp;AU75)+COUNTIFS(AU$6:AU75,"="&amp;AU75)=0,"",COUNTIFS($AU$6:$AU$177,"&gt;"&amp;AU75)+COUNTIFS(AU$6:AU75,"="&amp;AU75)+$AO$5)),"")</f>
        <v/>
      </c>
      <c r="AQ75" s="134" t="str">
        <f>IFERROR(IF(OR(AD75=0,AD75=""),"",IF(COUNTIFS($AV$6:$AV$177,"&gt;"&amp;AV75)+COUNTIFS(AV$6:AV75,"="&amp;AV75)=0,"",COUNTIFS($AV$6:$AV$177,"&gt;"&amp;AV75)+COUNTIFS(AV$6:AV75,"="&amp;AV75)+$AP$5)),"")</f>
        <v/>
      </c>
      <c r="AR75" s="78">
        <f t="shared" si="38"/>
        <v>0.65190593819626075</v>
      </c>
      <c r="AS75" s="78" t="str">
        <f t="shared" si="39"/>
        <v/>
      </c>
      <c r="AT75" s="78" t="str">
        <f t="shared" si="40"/>
        <v/>
      </c>
      <c r="AU75" s="78" t="str">
        <f t="shared" si="41"/>
        <v/>
      </c>
      <c r="AV75" s="78" t="str">
        <f t="shared" si="42"/>
        <v/>
      </c>
    </row>
    <row r="76" spans="1:48" ht="16.5" customHeight="1" x14ac:dyDescent="0.3">
      <c r="A76">
        <f>IF(AD76="","",COUNTIFS($H$6:$H$120,H76,$AF$6:$AF$120,"&gt;"&amp;AF76)+COUNTIFS(H76:$H$120,H76,AF76:$AF$120,AF76))</f>
        <v>2</v>
      </c>
      <c r="C76">
        <f t="shared" si="36"/>
        <v>24</v>
      </c>
      <c r="D76">
        <f>IF(AG76=0,"",IF(COUNTIFS($AG$6:$AG$177,"&gt;"&amp;AG76)+COUNTIFS(AG$6:AG76,"="&amp;AG76)=0,"",COUNTIFS($AG$6:$AG$177,"&gt;"&amp;AG76)+COUNTIFS(AG$6:AG76,"="&amp;AG76)))</f>
        <v>16</v>
      </c>
      <c r="F76" s="19" t="s">
        <v>65</v>
      </c>
      <c r="G76" s="109">
        <f>IFERROR(IF(VLOOKUP(F76,Lookups!$A$2:$F$111,2,FALSE)="","",VLOOKUP(F76,Lookups!$A$2:$F$111,2,FALSE)),"")</f>
        <v>1886</v>
      </c>
      <c r="H76" s="109" t="str">
        <f>IFERROR(IF(VLOOKUP(F76,Lookups!$A$2:$F$111,3,FALSE)="","",VLOOKUP(F76,Lookups!$A$2:$F$111,3,FALSE)),"")</f>
        <v>C</v>
      </c>
      <c r="I76" s="109" t="str">
        <f>IFERROR(IF(AF76=0,"",VLOOKUP(AF76,Lookups!$K$2:$L$6,2,TRUE)),"")</f>
        <v>B</v>
      </c>
      <c r="J76" s="109" t="str">
        <f>IF(AD76&lt;Lookups!$I$5,"Y","N")</f>
        <v>N</v>
      </c>
      <c r="K76" s="109" t="str">
        <f>IFERROR(IF(VLOOKUP(F76,Lookups!$A$2:$F$111,4,FALSE)="","",VLOOKUP(F76,Lookups!$A$2:$F$111,4,FALSE)),"")</f>
        <v>PCP</v>
      </c>
      <c r="L76" s="109" t="str">
        <f>IFERROR(IF(VLOOKUP(F76,Lookups!$A$2:$F$111,5,FALSE)="","",VLOOKUP(F76,Lookups!$A$2:$F$111,5,FALSE)),"")</f>
        <v>Meon</v>
      </c>
      <c r="M76" s="110" t="str">
        <f>IFERROR(IF(VLOOKUP(F76,Lookups!$A$2:$F$111,6,FALSE)="","",VLOOKUP(F76,Lookups!$A$2:$F$111,6,FALSE)),"")</f>
        <v>Meon</v>
      </c>
      <c r="N76" s="57">
        <f>IFERROR(IF(VLOOKUP(F76,Scores!$A$1:$I$99,2,FALSE)="","",VLOOKUP(F76,Scores!$A$1:$I$99,2,FALSE)),"")</f>
        <v>23</v>
      </c>
      <c r="O76" s="58">
        <f>IFERROR(IF(VLOOKUP(F76,Scores!$A$1:$I$99,3,FALSE)="","",VLOOKUP(F76,Scores!$A$1:$I$99,3,FALSE)),"")</f>
        <v>17</v>
      </c>
      <c r="P76" s="58">
        <f>IFERROR(IF(VLOOKUP(F76,Scores!$A$1:$I$99,4,FALSE)="","",VLOOKUP(F76,Scores!$A$1:$I$99,4,FALSE)),"")</f>
        <v>23</v>
      </c>
      <c r="Q76" s="58">
        <f>IFERROR(IF(VLOOKUP(F76,Scores!$A$1:$I$99,5,FALSE)="","",VLOOKUP(F76,Scores!$A$1:$I$99,5,FALSE)),"")</f>
        <v>23</v>
      </c>
      <c r="R76" s="58">
        <f>IFERROR(IF(VLOOKUP(F76,Scores!$A$1:$I$99,6,FALSE)="","",VLOOKUP(F76,Scores!$A$1:$I$99,6,FALSE)),"")</f>
        <v>27</v>
      </c>
      <c r="S76" s="58">
        <f>IFERROR(IF(VLOOKUP(F76,Scores!$A$1:$I$99,7,FALSE)="","",VLOOKUP(F76,Scores!$A$1:$I$99,7,FALSE)),"")</f>
        <v>25</v>
      </c>
      <c r="T76" s="58" t="str">
        <f>IFERROR(IF(VLOOKUP(F76,Scores!$A$1:$I$99,8,FALSE)="","",VLOOKUP(F76,Scores!$A$1:$I$99,8,FALSE)),"")</f>
        <v/>
      </c>
      <c r="U76" s="60" t="str">
        <f>IFERROR(IF(VLOOKUP(F76,Scores!$A$1:$I$99,9,FALSE)="","",VLOOKUP(F76,Scores!$A$1:$I$99,9,FALSE)),"")</f>
        <v/>
      </c>
      <c r="V76" s="54">
        <f t="shared" si="43"/>
        <v>0.6216216216216216</v>
      </c>
      <c r="W76" s="55">
        <f t="shared" si="44"/>
        <v>0.54838709677419351</v>
      </c>
      <c r="X76" s="55">
        <f t="shared" si="45"/>
        <v>0.6216216216216216</v>
      </c>
      <c r="Y76" s="55">
        <f t="shared" si="46"/>
        <v>0.63888888888888884</v>
      </c>
      <c r="Z76" s="55">
        <f t="shared" si="47"/>
        <v>0.71052631578947367</v>
      </c>
      <c r="AA76" s="55">
        <f t="shared" si="48"/>
        <v>0.67567567567567566</v>
      </c>
      <c r="AB76" s="55" t="str">
        <f t="shared" si="49"/>
        <v/>
      </c>
      <c r="AC76" s="56" t="str">
        <f t="shared" si="50"/>
        <v/>
      </c>
      <c r="AD76" s="79">
        <f t="shared" si="51"/>
        <v>6</v>
      </c>
      <c r="AE76" s="59">
        <f t="shared" si="52"/>
        <v>0.63612020339524566</v>
      </c>
      <c r="AF76" s="55" cm="1">
        <f t="array" ref="AF76">IFERROR(IF(AD76&gt;Lookups!$I$5-1,AVERAGE(LARGE(V76:AC76,_xlfn.SEQUENCE(Lookups!$I$5))),AVERAGE(LARGE(V76:AC76,_xlfn.SEQUENCE(AD76)))),"")</f>
        <v>0.66167812549391491</v>
      </c>
      <c r="AG76" s="124">
        <f t="shared" si="53"/>
        <v>138</v>
      </c>
      <c r="AH76" s="78" t="str">
        <f>IF(AD76=Lookups!$I$5+1,LARGE(V76:AC76,5),"")</f>
        <v/>
      </c>
      <c r="AI76" s="78">
        <f>IF(AD76=Lookups!$I$5+2,LARGE(V76:AC76,6),"")</f>
        <v>0.54838709677419351</v>
      </c>
      <c r="AJ76" s="78"/>
      <c r="AK76" s="78"/>
      <c r="AL76" s="140">
        <f t="shared" si="37"/>
        <v>24</v>
      </c>
      <c r="AM76" s="134">
        <f>IF(OR(AD76=0,AD76=""),"",IF(COUNTIFS($AR$6:$AR$177,"&gt;"&amp;AR76)+COUNTIFS(AR$6:AR76,"="&amp;AR76)=0,"",COUNTIFS($AR$6:$AR$177,"&gt;"&amp;AR76)+COUNTIFS(AR$6:AR76,"="&amp;AR76)))</f>
        <v>24</v>
      </c>
      <c r="AN76" s="134" t="str">
        <f>IFERROR(IF(OR(AD76=0,AD76=""),"",IF(COUNTIFS($AS$6:$AS$177,"&gt;"&amp;AS76)+COUNTIFS(AS$6:AS76,"="&amp;AS76)=0,"",COUNTIFS($AS$6:$AS$177,"&gt;"&amp;AS76)+COUNTIFS(AS$6:AS76,"="&amp;AS76)+$AM$5)),"")</f>
        <v/>
      </c>
      <c r="AO76" s="134" t="str">
        <f>IFERROR(IF(OR(AD76=0,AD76=""),"",IF(COUNTIFS($AT$6:$AT$177,"&gt;"&amp;AT76)+COUNTIFS(AT$6:AT76,"="&amp;AT76)=0,"",COUNTIFS($AT$6:$AT$177,"&gt;"&amp;AT76)+COUNTIFS(AT$6:AT76,"="&amp;AT76)+$AN$5)),"")</f>
        <v/>
      </c>
      <c r="AP76" s="134" t="str">
        <f>IFERROR(IF(OR(AD76=0,AD76=""),"",IF(COUNTIFS($AU$6:$AU$177,"&gt;"&amp;AU76)+COUNTIFS(AU$6:AU76,"="&amp;AU76)=0,"",COUNTIFS($AU$6:$AU$177,"&gt;"&amp;AU76)+COUNTIFS(AU$6:AU76,"="&amp;AU76)+$AO$5)),"")</f>
        <v/>
      </c>
      <c r="AQ76" s="134" t="str">
        <f>IFERROR(IF(OR(AD76=0,AD76=""),"",IF(COUNTIFS($AV$6:$AV$177,"&gt;"&amp;AV76)+COUNTIFS(AV$6:AV76,"="&amp;AV76)=0,"",COUNTIFS($AV$6:$AV$177,"&gt;"&amp;AV76)+COUNTIFS(AV$6:AV76,"="&amp;AV76)+$AP$5)),"")</f>
        <v/>
      </c>
      <c r="AR76" s="78">
        <f t="shared" si="38"/>
        <v>0.66167812549391491</v>
      </c>
      <c r="AS76" s="78" t="str">
        <f t="shared" si="39"/>
        <v/>
      </c>
      <c r="AT76" s="78" t="str">
        <f t="shared" si="40"/>
        <v/>
      </c>
      <c r="AU76" s="78" t="str">
        <f t="shared" si="41"/>
        <v/>
      </c>
      <c r="AV76" s="78" t="str">
        <f t="shared" si="42"/>
        <v/>
      </c>
    </row>
    <row r="77" spans="1:48" ht="16.5" customHeight="1" x14ac:dyDescent="0.3">
      <c r="A77" t="str">
        <f>IF(AD77="","",COUNTIFS($H$6:$H$120,H77,$AF$6:$AF$120,"&gt;"&amp;AF77)+COUNTIFS(H77:$H$120,H77,AF77:$AF$120,AF77))</f>
        <v/>
      </c>
      <c r="C77" t="str">
        <f t="shared" si="36"/>
        <v/>
      </c>
      <c r="D77" t="str">
        <f>IF(AG77=0,"",IF(COUNTIFS($AG$6:$AG$177,"&gt;"&amp;AG77)+COUNTIFS(AG$6:AG77,"="&amp;AG77)=0,"",COUNTIFS($AG$6:$AG$177,"&gt;"&amp;AG77)+COUNTIFS(AG$6:AG77,"="&amp;AG77)))</f>
        <v/>
      </c>
      <c r="F77" s="22"/>
      <c r="G77" s="109" t="str">
        <f>IFERROR(IF(VLOOKUP(F77,Lookups!$A$2:$F$111,2,FALSE)="","",VLOOKUP(F77,Lookups!$A$2:$F$111,2,FALSE)),"")</f>
        <v/>
      </c>
      <c r="H77" s="109" t="str">
        <f>IFERROR(IF(VLOOKUP(F77,Lookups!$A$2:$F$111,3,FALSE)="","",VLOOKUP(F77,Lookups!$A$2:$F$111,3,FALSE)),"")</f>
        <v/>
      </c>
      <c r="I77" s="109" t="str">
        <f>IFERROR(IF(AF77=0,"",VLOOKUP(AF77,Lookups!$K$2:$L$6,2,TRUE)),"")</f>
        <v/>
      </c>
      <c r="J77" s="109" t="str">
        <f>IF(AD77&lt;Lookups!$I$5,"Y","N")</f>
        <v>N</v>
      </c>
      <c r="K77" s="109" t="str">
        <f>IFERROR(IF(VLOOKUP(F77,Lookups!$A$2:$F$111,4,FALSE)="","",VLOOKUP(F77,Lookups!$A$2:$F$111,4,FALSE)),"")</f>
        <v/>
      </c>
      <c r="L77" s="109" t="str">
        <f>IFERROR(IF(VLOOKUP(F77,Lookups!$A$2:$F$111,5,FALSE)="","",VLOOKUP(F77,Lookups!$A$2:$F$111,5,FALSE)),"")</f>
        <v/>
      </c>
      <c r="M77" s="110" t="str">
        <f>IFERROR(IF(VLOOKUP(F77,Lookups!$A$2:$F$111,6,FALSE)="","",VLOOKUP(F77,Lookups!$A$2:$F$111,6,FALSE)),"")</f>
        <v/>
      </c>
      <c r="N77" s="57" t="str">
        <f>IFERROR(IF(VLOOKUP(F77,Scores!$A$1:$I$99,2,FALSE)="","",VLOOKUP(F77,Scores!$A$1:$I$99,2,FALSE)),"")</f>
        <v/>
      </c>
      <c r="O77" s="58" t="str">
        <f>IFERROR(IF(VLOOKUP(F77,Scores!$A$1:$I$99,3,FALSE)="","",VLOOKUP(F77,Scores!$A$1:$I$99,3,FALSE)),"")</f>
        <v/>
      </c>
      <c r="P77" s="58" t="str">
        <f>IFERROR(IF(VLOOKUP(F77,Scores!$A$1:$I$99,4,FALSE)="","",VLOOKUP(F77,Scores!$A$1:$I$99,4,FALSE)),"")</f>
        <v/>
      </c>
      <c r="Q77" s="58" t="str">
        <f>IFERROR(IF(VLOOKUP(F77,Scores!$A$1:$I$99,5,FALSE)="","",VLOOKUP(F77,Scores!$A$1:$I$99,5,FALSE)),"")</f>
        <v/>
      </c>
      <c r="R77" s="58" t="str">
        <f>IFERROR(IF(VLOOKUP(F77,Scores!$A$1:$I$99,6,FALSE)="","",VLOOKUP(F77,Scores!$A$1:$I$99,6,FALSE)),"")</f>
        <v/>
      </c>
      <c r="S77" s="58" t="str">
        <f>IFERROR(IF(VLOOKUP(F77,Scores!$A$1:$I$99,7,FALSE)="","",VLOOKUP(F77,Scores!$A$1:$I$99,7,FALSE)),"")</f>
        <v/>
      </c>
      <c r="T77" s="58" t="str">
        <f>IFERROR(IF(VLOOKUP(F77,Scores!$A$1:$I$99,8,FALSE)="","",VLOOKUP(F77,Scores!$A$1:$I$99,8,FALSE)),"")</f>
        <v/>
      </c>
      <c r="U77" s="60" t="str">
        <f>IFERROR(IF(VLOOKUP(F77,Scores!$A$1:$I$99,9,FALSE)="","",VLOOKUP(F77,Scores!$A$1:$I$99,9,FALSE)),"")</f>
        <v/>
      </c>
      <c r="V77" s="54" t="str">
        <f t="shared" si="43"/>
        <v/>
      </c>
      <c r="W77" s="55" t="str">
        <f t="shared" si="44"/>
        <v/>
      </c>
      <c r="X77" s="55" t="str">
        <f t="shared" si="45"/>
        <v/>
      </c>
      <c r="Y77" s="55" t="str">
        <f t="shared" si="46"/>
        <v/>
      </c>
      <c r="Z77" s="55" t="str">
        <f t="shared" si="47"/>
        <v/>
      </c>
      <c r="AA77" s="55" t="str">
        <f t="shared" si="48"/>
        <v/>
      </c>
      <c r="AB77" s="55" t="str">
        <f t="shared" si="49"/>
        <v/>
      </c>
      <c r="AC77" s="56" t="str">
        <f t="shared" si="50"/>
        <v/>
      </c>
      <c r="AD77" s="79" t="str">
        <f t="shared" si="51"/>
        <v/>
      </c>
      <c r="AE77" s="59" t="str">
        <f t="shared" si="52"/>
        <v/>
      </c>
      <c r="AF77" s="55" t="str" cm="1">
        <f t="array" ref="AF77">IFERROR(IF(AD77&gt;Lookups!$I$5-1,AVERAGE(LARGE(V77:AC77,_xlfn.SEQUENCE(Lookups!$I$5))),AVERAGE(LARGE(V77:AC77,_xlfn.SEQUENCE(AD77)))),"")</f>
        <v/>
      </c>
      <c r="AG77" s="124" t="str">
        <f t="shared" si="53"/>
        <v/>
      </c>
      <c r="AH77" s="78" t="str">
        <f>IF(AD77=Lookups!$I$5+1,LARGE(V77:AC77,5),"")</f>
        <v/>
      </c>
      <c r="AI77" s="78" t="str">
        <f>IF(AD77=Lookups!$I$5+2,LARGE(V77:AC77,6),"")</f>
        <v/>
      </c>
      <c r="AJ77" s="78"/>
      <c r="AK77" s="78"/>
      <c r="AL77" s="140" t="str">
        <f t="shared" si="37"/>
        <v/>
      </c>
      <c r="AM77" s="134" t="str">
        <f>IF(OR(AD77=0,AD77=""),"",IF(COUNTIFS($AR$6:$AR$177,"&gt;"&amp;AR77)+COUNTIFS(AR$6:AR77,"="&amp;AR77)=0,"",COUNTIFS($AR$6:$AR$177,"&gt;"&amp;AR77)+COUNTIFS(AR$6:AR77,"="&amp;AR77)))</f>
        <v/>
      </c>
      <c r="AN77" s="134" t="str">
        <f>IFERROR(IF(OR(AD77=0,AD77=""),"",IF(COUNTIFS($AS$6:$AS$177,"&gt;"&amp;AS77)+COUNTIFS(AS$6:AS77,"="&amp;AS77)=0,"",COUNTIFS($AS$6:$AS$177,"&gt;"&amp;AS77)+COUNTIFS(AS$6:AS77,"="&amp;AS77)+$AM$5)),"")</f>
        <v/>
      </c>
      <c r="AO77" s="134" t="str">
        <f>IFERROR(IF(OR(AD77=0,AD77=""),"",IF(COUNTIFS($AT$6:$AT$177,"&gt;"&amp;AT77)+COUNTIFS(AT$6:AT77,"="&amp;AT77)=0,"",COUNTIFS($AT$6:$AT$177,"&gt;"&amp;AT77)+COUNTIFS(AT$6:AT77,"="&amp;AT77)+$AN$5)),"")</f>
        <v/>
      </c>
      <c r="AP77" s="134" t="str">
        <f>IFERROR(IF(OR(AD77=0,AD77=""),"",IF(COUNTIFS($AU$6:$AU$177,"&gt;"&amp;AU77)+COUNTIFS(AU$6:AU77,"="&amp;AU77)=0,"",COUNTIFS($AU$6:$AU$177,"&gt;"&amp;AU77)+COUNTIFS(AU$6:AU77,"="&amp;AU77)+$AO$5)),"")</f>
        <v/>
      </c>
      <c r="AQ77" s="134" t="str">
        <f>IFERROR(IF(OR(AD77=0,AD77=""),"",IF(COUNTIFS($AV$6:$AV$177,"&gt;"&amp;AV77)+COUNTIFS(AV$6:AV77,"="&amp;AV77)=0,"",COUNTIFS($AV$6:$AV$177,"&gt;"&amp;AV77)+COUNTIFS(AV$6:AV77,"="&amp;AV77)+$AP$5)),"")</f>
        <v/>
      </c>
      <c r="AR77" s="78" t="str">
        <f t="shared" si="38"/>
        <v/>
      </c>
      <c r="AS77" s="78" t="str">
        <f t="shared" si="39"/>
        <v/>
      </c>
      <c r="AT77" s="78" t="str">
        <f t="shared" si="40"/>
        <v/>
      </c>
      <c r="AU77" s="78" t="str">
        <f t="shared" si="41"/>
        <v/>
      </c>
      <c r="AV77" s="78" t="str">
        <f t="shared" si="42"/>
        <v/>
      </c>
    </row>
    <row r="78" spans="1:48" ht="16.5" customHeight="1" x14ac:dyDescent="0.3">
      <c r="A78">
        <f>IF(AD78="","",COUNTIFS($H$6:$H$120,H78,$AF$6:$AF$120,"&gt;"&amp;AF78)+COUNTIFS(H78:$H$120,H78,AF78:$AF$120,AF78))</f>
        <v>6</v>
      </c>
      <c r="C78">
        <f t="shared" si="36"/>
        <v>46</v>
      </c>
      <c r="D78">
        <f>IF(AG78=0,"",IF(COUNTIFS($AG$6:$AG$177,"&gt;"&amp;AG78)+COUNTIFS(AG$6:AG78,"="&amp;AG78)=0,"",COUNTIFS($AG$6:$AG$177,"&gt;"&amp;AG78)+COUNTIFS(AG$6:AG78,"="&amp;AG78)))</f>
        <v>48</v>
      </c>
      <c r="F78" s="19" t="s">
        <v>61</v>
      </c>
      <c r="G78" s="109">
        <f>IFERROR(IF(VLOOKUP(F78,Lookups!$A$2:$F$111,2,FALSE)="","",VLOOKUP(F78,Lookups!$A$2:$F$111,2,FALSE)),"")</f>
        <v>1904</v>
      </c>
      <c r="H78" s="109" t="str">
        <f>IFERROR(IF(VLOOKUP(F78,Lookups!$A$2:$F$111,3,FALSE)="","",VLOOKUP(F78,Lookups!$A$2:$F$111,3,FALSE)),"")</f>
        <v>C</v>
      </c>
      <c r="I78" s="109" t="str">
        <f>IFERROR(IF(AF78=0,"",VLOOKUP(AF78,Lookups!$K$2:$L$6,2,TRUE)),"")</f>
        <v>C</v>
      </c>
      <c r="J78" s="109" t="str">
        <f>IF(AD78&lt;Lookups!$I$5,"Y","N")</f>
        <v>Y</v>
      </c>
      <c r="K78" s="109" t="str">
        <f>IFERROR(IF(VLOOKUP(F78,Lookups!$A$2:$F$111,4,FALSE)="","",VLOOKUP(F78,Lookups!$A$2:$F$111,4,FALSE)),"")</f>
        <v>PCP</v>
      </c>
      <c r="L78" s="109" t="str">
        <f>IFERROR(IF(VLOOKUP(F78,Lookups!$A$2:$F$111,5,FALSE)="","",VLOOKUP(F78,Lookups!$A$2:$F$111,5,FALSE)),"")</f>
        <v>Meon</v>
      </c>
      <c r="M78" s="110" t="str">
        <f>IFERROR(IF(VLOOKUP(F78,Lookups!$A$2:$F$111,6,FALSE)="","",VLOOKUP(F78,Lookups!$A$2:$F$111,6,FALSE)),"")</f>
        <v>Meon</v>
      </c>
      <c r="N78" s="57">
        <f>IFERROR(IF(VLOOKUP(F78,Scores!$A$1:$I$99,2,FALSE)="","",VLOOKUP(F78,Scores!$A$1:$I$99,2,FALSE)),"")</f>
        <v>18</v>
      </c>
      <c r="O78" s="58" t="str">
        <f>IFERROR(IF(VLOOKUP(F78,Scores!$A$1:$I$99,3,FALSE)="","",VLOOKUP(F78,Scores!$A$1:$I$99,3,FALSE)),"")</f>
        <v/>
      </c>
      <c r="P78" s="58" t="str">
        <f>IFERROR(IF(VLOOKUP(F78,Scores!$A$1:$I$99,4,FALSE)="","",VLOOKUP(F78,Scores!$A$1:$I$99,4,FALSE)),"")</f>
        <v/>
      </c>
      <c r="Q78" s="58" t="str">
        <f>IFERROR(IF(VLOOKUP(F78,Scores!$A$1:$I$99,5,FALSE)="","",VLOOKUP(F78,Scores!$A$1:$I$99,5,FALSE)),"")</f>
        <v/>
      </c>
      <c r="R78" s="58" t="str">
        <f>IFERROR(IF(VLOOKUP(F78,Scores!$A$1:$I$99,6,FALSE)="","",VLOOKUP(F78,Scores!$A$1:$I$99,6,FALSE)),"")</f>
        <v/>
      </c>
      <c r="S78" s="58" t="str">
        <f>IFERROR(IF(VLOOKUP(F78,Scores!$A$1:$I$99,7,FALSE)="","",VLOOKUP(F78,Scores!$A$1:$I$99,7,FALSE)),"")</f>
        <v/>
      </c>
      <c r="T78" s="58" t="str">
        <f>IFERROR(IF(VLOOKUP(F78,Scores!$A$1:$I$99,8,FALSE)="","",VLOOKUP(F78,Scores!$A$1:$I$99,8,FALSE)),"")</f>
        <v/>
      </c>
      <c r="U78" s="60" t="str">
        <f>IFERROR(IF(VLOOKUP(F78,Scores!$A$1:$I$99,9,FALSE)="","",VLOOKUP(F78,Scores!$A$1:$I$99,9,FALSE)),"")</f>
        <v/>
      </c>
      <c r="V78" s="54">
        <f t="shared" si="43"/>
        <v>0.48648648648648651</v>
      </c>
      <c r="W78" s="55" t="str">
        <f t="shared" si="44"/>
        <v/>
      </c>
      <c r="X78" s="55" t="str">
        <f t="shared" si="45"/>
        <v/>
      </c>
      <c r="Y78" s="55" t="str">
        <f t="shared" si="46"/>
        <v/>
      </c>
      <c r="Z78" s="55" t="str">
        <f t="shared" si="47"/>
        <v/>
      </c>
      <c r="AA78" s="55" t="str">
        <f t="shared" si="48"/>
        <v/>
      </c>
      <c r="AB78" s="55" t="str">
        <f t="shared" si="49"/>
        <v/>
      </c>
      <c r="AC78" s="56" t="str">
        <f t="shared" si="50"/>
        <v/>
      </c>
      <c r="AD78" s="79">
        <f t="shared" si="51"/>
        <v>1</v>
      </c>
      <c r="AE78" s="59">
        <f t="shared" si="52"/>
        <v>0.48648648648648651</v>
      </c>
      <c r="AF78" s="55" cm="1">
        <f t="array" ref="AF78">IFERROR(IF(AD78&gt;Lookups!$I$5-1,AVERAGE(LARGE(V78:AC78,_xlfn.SEQUENCE(Lookups!$I$5))),AVERAGE(LARGE(V78:AC78,_xlfn.SEQUENCE(AD78)))),"")</f>
        <v>0.48648648648648651</v>
      </c>
      <c r="AG78" s="124">
        <f t="shared" si="53"/>
        <v>18</v>
      </c>
      <c r="AH78" s="78" t="str">
        <f>IF(AD78=Lookups!$I$5+1,LARGE(V78:AC78,5),"")</f>
        <v/>
      </c>
      <c r="AI78" s="78" t="str">
        <f>IF(AD78=Lookups!$I$5+2,LARGE(V78:AC78,6),"")</f>
        <v/>
      </c>
      <c r="AJ78" s="78"/>
      <c r="AK78" s="78"/>
      <c r="AL78" s="140">
        <f t="shared" si="37"/>
        <v>46</v>
      </c>
      <c r="AM78" s="134" t="str">
        <f>IF(OR(AD78=0,AD78=""),"",IF(COUNTIFS($AR$6:$AR$177,"&gt;"&amp;AR78)+COUNTIFS(AR$6:AR78,"="&amp;AR78)=0,"",COUNTIFS($AR$6:$AR$177,"&gt;"&amp;AR78)+COUNTIFS(AR$6:AR78,"="&amp;AR78)))</f>
        <v/>
      </c>
      <c r="AN78" s="134" t="str">
        <f>IFERROR(IF(OR(AD78=0,AD78=""),"",IF(COUNTIFS($AS$6:$AS$177,"&gt;"&amp;AS78)+COUNTIFS(AS$6:AS78,"="&amp;AS78)=0,"",COUNTIFS($AS$6:$AS$177,"&gt;"&amp;AS78)+COUNTIFS(AS$6:AS78,"="&amp;AS78)+$AM$5)),"")</f>
        <v/>
      </c>
      <c r="AO78" s="134" t="str">
        <f>IFERROR(IF(OR(AD78=0,AD78=""),"",IF(COUNTIFS($AT$6:$AT$177,"&gt;"&amp;AT78)+COUNTIFS(AT$6:AT78,"="&amp;AT78)=0,"",COUNTIFS($AT$6:$AT$177,"&gt;"&amp;AT78)+COUNTIFS(AT$6:AT78,"="&amp;AT78)+$AN$5)),"")</f>
        <v/>
      </c>
      <c r="AP78" s="134">
        <f>IFERROR(IF(OR(AD78=0,AD78=""),"",IF(COUNTIFS($AU$6:$AU$177,"&gt;"&amp;AU78)+COUNTIFS(AU$6:AU78,"="&amp;AU78)=0,"",COUNTIFS($AU$6:$AU$177,"&gt;"&amp;AU78)+COUNTIFS(AU$6:AU78,"="&amp;AU78)+$AO$5)),"")</f>
        <v>46</v>
      </c>
      <c r="AQ78" s="134" t="str">
        <f>IFERROR(IF(OR(AD78=0,AD78=""),"",IF(COUNTIFS($AV$6:$AV$177,"&gt;"&amp;AV78)+COUNTIFS(AV$6:AV78,"="&amp;AV78)=0,"",COUNTIFS($AV$6:$AV$177,"&gt;"&amp;AV78)+COUNTIFS(AV$6:AV78,"="&amp;AV78)+$AP$5)),"")</f>
        <v/>
      </c>
      <c r="AR78" s="78" t="str">
        <f t="shared" si="38"/>
        <v/>
      </c>
      <c r="AS78" s="78" t="str">
        <f t="shared" si="39"/>
        <v/>
      </c>
      <c r="AT78" s="78" t="str">
        <f t="shared" si="40"/>
        <v/>
      </c>
      <c r="AU78" s="78">
        <f t="shared" si="41"/>
        <v>0.48648648648648651</v>
      </c>
      <c r="AV78" s="78" t="str">
        <f t="shared" si="42"/>
        <v/>
      </c>
    </row>
    <row r="79" spans="1:48" ht="16.5" customHeight="1" x14ac:dyDescent="0.3">
      <c r="A79">
        <f>IF(AD79="","",COUNTIFS($H$6:$H$120,H79,$AF$6:$AF$120,"&gt;"&amp;AF79)+COUNTIFS(H79:$H$120,H79,AF79:$AF$120,AF79))</f>
        <v>4</v>
      </c>
      <c r="C79">
        <f t="shared" si="36"/>
        <v>27</v>
      </c>
      <c r="D79">
        <f>IF(AG79=0,"",IF(COUNTIFS($AG$6:$AG$177,"&gt;"&amp;AG79)+COUNTIFS(AG$6:AG79,"="&amp;AG79)=0,"",COUNTIFS($AG$6:$AG$177,"&gt;"&amp;AG79)+COUNTIFS(AG$6:AG79,"="&amp;AG79)))</f>
        <v>25</v>
      </c>
      <c r="F79" s="21" t="s">
        <v>63</v>
      </c>
      <c r="G79" s="109">
        <f>IFERROR(IF(VLOOKUP(F79,Lookups!$A$2:$F$111,2,FALSE)="","",VLOOKUP(F79,Lookups!$A$2:$F$111,2,FALSE)),"")</f>
        <v>1917</v>
      </c>
      <c r="H79" s="109" t="str">
        <f>IFERROR(IF(VLOOKUP(F79,Lookups!$A$2:$F$111,3,FALSE)="","",VLOOKUP(F79,Lookups!$A$2:$F$111,3,FALSE)),"")</f>
        <v>C</v>
      </c>
      <c r="I79" s="109" t="str">
        <f>IFERROR(IF(AF79=0,"",VLOOKUP(AF79,Lookups!$K$2:$L$6,2,TRUE)),"")</f>
        <v>B</v>
      </c>
      <c r="J79" s="109" t="str">
        <f>IF(AD79&lt;Lookups!$I$5,"Y","N")</f>
        <v>N</v>
      </c>
      <c r="K79" s="109" t="str">
        <f>IFERROR(IF(VLOOKUP(F79,Lookups!$A$2:$F$111,4,FALSE)="","",VLOOKUP(F79,Lookups!$A$2:$F$111,4,FALSE)),"")</f>
        <v>PCP</v>
      </c>
      <c r="L79" s="109" t="str">
        <f>IFERROR(IF(VLOOKUP(F79,Lookups!$A$2:$F$111,5,FALSE)="","",VLOOKUP(F79,Lookups!$A$2:$F$111,5,FALSE)),"")</f>
        <v>Carisbrooke</v>
      </c>
      <c r="M79" s="110" t="str">
        <f>IFERROR(IF(VLOOKUP(F79,Lookups!$A$2:$F$111,6,FALSE)="","",VLOOKUP(F79,Lookups!$A$2:$F$111,6,FALSE)),"")</f>
        <v>Carisbrooke Raptors</v>
      </c>
      <c r="N79" s="57">
        <f>IFERROR(IF(VLOOKUP(F79,Scores!$A$1:$I$99,2,FALSE)="","",VLOOKUP(F79,Scores!$A$1:$I$99,2,FALSE)),"")</f>
        <v>24</v>
      </c>
      <c r="O79" s="58">
        <f>IFERROR(IF(VLOOKUP(F79,Scores!$A$1:$I$99,3,FALSE)="","",VLOOKUP(F79,Scores!$A$1:$I$99,3,FALSE)),"")</f>
        <v>18</v>
      </c>
      <c r="P79" s="58" t="str">
        <f>IFERROR(IF(VLOOKUP(F79,Scores!$A$1:$I$99,4,FALSE)="","",VLOOKUP(F79,Scores!$A$1:$I$99,4,FALSE)),"")</f>
        <v/>
      </c>
      <c r="Q79" s="58">
        <f>IFERROR(IF(VLOOKUP(F79,Scores!$A$1:$I$99,5,FALSE)="","",VLOOKUP(F79,Scores!$A$1:$I$99,5,FALSE)),"")</f>
        <v>19</v>
      </c>
      <c r="R79" s="58">
        <f>IFERROR(IF(VLOOKUP(F79,Scores!$A$1:$I$99,6,FALSE)="","",VLOOKUP(F79,Scores!$A$1:$I$99,6,FALSE)),"")</f>
        <v>26</v>
      </c>
      <c r="S79" s="58">
        <f>IFERROR(IF(VLOOKUP(F79,Scores!$A$1:$I$99,7,FALSE)="","",VLOOKUP(F79,Scores!$A$1:$I$99,7,FALSE)),"")</f>
        <v>24</v>
      </c>
      <c r="T79" s="58" t="str">
        <f>IFERROR(IF(VLOOKUP(F79,Scores!$A$1:$I$99,8,FALSE)="","",VLOOKUP(F79,Scores!$A$1:$I$99,8,FALSE)),"")</f>
        <v/>
      </c>
      <c r="U79" s="60" t="str">
        <f>IFERROR(IF(VLOOKUP(F79,Scores!$A$1:$I$99,9,FALSE)="","",VLOOKUP(F79,Scores!$A$1:$I$99,9,FALSE)),"")</f>
        <v/>
      </c>
      <c r="V79" s="54">
        <f t="shared" si="43"/>
        <v>0.64864864864864868</v>
      </c>
      <c r="W79" s="55">
        <f t="shared" si="44"/>
        <v>0.58064516129032262</v>
      </c>
      <c r="X79" s="55" t="str">
        <f t="shared" si="45"/>
        <v/>
      </c>
      <c r="Y79" s="55">
        <f t="shared" si="46"/>
        <v>0.52777777777777779</v>
      </c>
      <c r="Z79" s="55">
        <f t="shared" si="47"/>
        <v>0.68421052631578949</v>
      </c>
      <c r="AA79" s="55">
        <f t="shared" si="48"/>
        <v>0.64864864864864868</v>
      </c>
      <c r="AB79" s="55" t="str">
        <f t="shared" si="49"/>
        <v/>
      </c>
      <c r="AC79" s="56" t="str">
        <f t="shared" si="50"/>
        <v/>
      </c>
      <c r="AD79" s="79">
        <f t="shared" si="51"/>
        <v>5</v>
      </c>
      <c r="AE79" s="59">
        <f t="shared" si="52"/>
        <v>0.61798615253623734</v>
      </c>
      <c r="AF79" s="55" cm="1">
        <f t="array" ref="AF79">IFERROR(IF(AD79&gt;Lookups!$I$5-1,AVERAGE(LARGE(V79:AC79,_xlfn.SEQUENCE(Lookups!$I$5))),AVERAGE(LARGE(V79:AC79,_xlfn.SEQUENCE(AD79)))),"")</f>
        <v>0.64053824622585231</v>
      </c>
      <c r="AG79" s="124">
        <f t="shared" si="53"/>
        <v>111</v>
      </c>
      <c r="AH79" s="78">
        <f>IF(AD79=Lookups!$I$5+1,LARGE(V79:AC79,5),"")</f>
        <v>0.52777777777777779</v>
      </c>
      <c r="AI79" s="78" t="str">
        <f>IF(AD79=Lookups!$I$5+2,LARGE(V79:AC79,6),"")</f>
        <v/>
      </c>
      <c r="AJ79" s="78"/>
      <c r="AK79" s="78"/>
      <c r="AL79" s="140">
        <f t="shared" si="37"/>
        <v>27</v>
      </c>
      <c r="AM79" s="134">
        <f>IF(OR(AD79=0,AD79=""),"",IF(COUNTIFS($AR$6:$AR$177,"&gt;"&amp;AR79)+COUNTIFS(AR$6:AR79,"="&amp;AR79)=0,"",COUNTIFS($AR$6:$AR$177,"&gt;"&amp;AR79)+COUNTIFS(AR$6:AR79,"="&amp;AR79)))</f>
        <v>27</v>
      </c>
      <c r="AN79" s="134" t="str">
        <f>IFERROR(IF(OR(AD79=0,AD79=""),"",IF(COUNTIFS($AS$6:$AS$177,"&gt;"&amp;AS79)+COUNTIFS(AS$6:AS79,"="&amp;AS79)=0,"",COUNTIFS($AS$6:$AS$177,"&gt;"&amp;AS79)+COUNTIFS(AS$6:AS79,"="&amp;AS79)+$AM$5)),"")</f>
        <v/>
      </c>
      <c r="AO79" s="134" t="str">
        <f>IFERROR(IF(OR(AD79=0,AD79=""),"",IF(COUNTIFS($AT$6:$AT$177,"&gt;"&amp;AT79)+COUNTIFS(AT$6:AT79,"="&amp;AT79)=0,"",COUNTIFS($AT$6:$AT$177,"&gt;"&amp;AT79)+COUNTIFS(AT$6:AT79,"="&amp;AT79)+$AN$5)),"")</f>
        <v/>
      </c>
      <c r="AP79" s="134" t="str">
        <f>IFERROR(IF(OR(AD79=0,AD79=""),"",IF(COUNTIFS($AU$6:$AU$177,"&gt;"&amp;AU79)+COUNTIFS(AU$6:AU79,"="&amp;AU79)=0,"",COUNTIFS($AU$6:$AU$177,"&gt;"&amp;AU79)+COUNTIFS(AU$6:AU79,"="&amp;AU79)+$AO$5)),"")</f>
        <v/>
      </c>
      <c r="AQ79" s="134" t="str">
        <f>IFERROR(IF(OR(AD79=0,AD79=""),"",IF(COUNTIFS($AV$6:$AV$177,"&gt;"&amp;AV79)+COUNTIFS(AV$6:AV79,"="&amp;AV79)=0,"",COUNTIFS($AV$6:$AV$177,"&gt;"&amp;AV79)+COUNTIFS(AV$6:AV79,"="&amp;AV79)+$AP$5)),"")</f>
        <v/>
      </c>
      <c r="AR79" s="78">
        <f t="shared" si="38"/>
        <v>0.64053824622585231</v>
      </c>
      <c r="AS79" s="78" t="str">
        <f t="shared" si="39"/>
        <v/>
      </c>
      <c r="AT79" s="78" t="str">
        <f t="shared" si="40"/>
        <v/>
      </c>
      <c r="AU79" s="78" t="str">
        <f t="shared" si="41"/>
        <v/>
      </c>
      <c r="AV79" s="78" t="str">
        <f t="shared" si="42"/>
        <v/>
      </c>
    </row>
    <row r="80" spans="1:48" ht="16.5" customHeight="1" x14ac:dyDescent="0.3">
      <c r="A80" t="str">
        <f>IF(AD80="","",COUNTIFS($H$6:$H$120,H80,$AF$6:$AF$120,"&gt;"&amp;AF80)+COUNTIFS(H80:$H$120,H80,AF80:$AF$120,AF80))</f>
        <v/>
      </c>
      <c r="C80" t="str">
        <f t="shared" si="36"/>
        <v/>
      </c>
      <c r="D80" t="str">
        <f>IF(AG80=0,"",IF(COUNTIFS($AG$6:$AG$177,"&gt;"&amp;AG80)+COUNTIFS(AG$6:AG80,"="&amp;AG80)=0,"",COUNTIFS($AG$6:$AG$177,"&gt;"&amp;AG80)+COUNTIFS(AG$6:AG80,"="&amp;AG80)))</f>
        <v/>
      </c>
      <c r="F80" s="21" t="s">
        <v>103</v>
      </c>
      <c r="G80" s="109" t="str">
        <f>IFERROR(IF(VLOOKUP(F80,Lookups!$A$2:$F$111,2,FALSE)="","",VLOOKUP(F80,Lookups!$A$2:$F$111,2,FALSE)),"")</f>
        <v/>
      </c>
      <c r="H80" s="109" t="str">
        <f>IFERROR(IF(VLOOKUP(F80,Lookups!$A$2:$F$111,3,FALSE)="","",VLOOKUP(F80,Lookups!$A$2:$F$111,3,FALSE)),"")</f>
        <v>C</v>
      </c>
      <c r="I80" s="109" t="str">
        <f>IFERROR(IF(AF80=0,"",VLOOKUP(AF80,Lookups!$K$2:$L$6,2,TRUE)),"")</f>
        <v/>
      </c>
      <c r="J80" s="109" t="str">
        <f>IF(AD80&lt;Lookups!$I$5,"Y","N")</f>
        <v>N</v>
      </c>
      <c r="K80" s="109" t="str">
        <f>IFERROR(IF(VLOOKUP(F80,Lookups!$A$2:$F$111,4,FALSE)="","",VLOOKUP(F80,Lookups!$A$2:$F$111,4,FALSE)),"")</f>
        <v>PCP</v>
      </c>
      <c r="L80" s="109" t="str">
        <f>IFERROR(IF(VLOOKUP(F80,Lookups!$A$2:$F$111,5,FALSE)="","",VLOOKUP(F80,Lookups!$A$2:$F$111,5,FALSE)),"")</f>
        <v>Meon</v>
      </c>
      <c r="M80" s="110" t="str">
        <f>IFERROR(IF(VLOOKUP(F80,Lookups!$A$2:$F$111,6,FALSE)="","",VLOOKUP(F80,Lookups!$A$2:$F$111,6,FALSE)),"")</f>
        <v/>
      </c>
      <c r="N80" s="57" t="str">
        <f>IFERROR(IF(VLOOKUP(F80,Scores!$A$1:$I$99,2,FALSE)="","",VLOOKUP(F80,Scores!$A$1:$I$99,2,FALSE)),"")</f>
        <v/>
      </c>
      <c r="O80" s="58" t="str">
        <f>IFERROR(IF(VLOOKUP(F80,Scores!$A$1:$I$99,3,FALSE)="","",VLOOKUP(F80,Scores!$A$1:$I$99,3,FALSE)),"")</f>
        <v/>
      </c>
      <c r="P80" s="58" t="str">
        <f>IFERROR(IF(VLOOKUP(F80,Scores!$A$1:$I$99,4,FALSE)="","",VLOOKUP(F80,Scores!$A$1:$I$99,4,FALSE)),"")</f>
        <v/>
      </c>
      <c r="Q80" s="58" t="str">
        <f>IFERROR(IF(VLOOKUP(F80,Scores!$A$1:$I$99,5,FALSE)="","",VLOOKUP(F80,Scores!$A$1:$I$99,5,FALSE)),"")</f>
        <v/>
      </c>
      <c r="R80" s="58" t="str">
        <f>IFERROR(IF(VLOOKUP(F80,Scores!$A$1:$I$99,6,FALSE)="","",VLOOKUP(F80,Scores!$A$1:$I$99,6,FALSE)),"")</f>
        <v/>
      </c>
      <c r="S80" s="58" t="str">
        <f>IFERROR(IF(VLOOKUP(F80,Scores!$A$1:$I$99,7,FALSE)="","",VLOOKUP(F80,Scores!$A$1:$I$99,7,FALSE)),"")</f>
        <v/>
      </c>
      <c r="T80" s="58" t="str">
        <f>IFERROR(IF(VLOOKUP(F80,Scores!$A$1:$I$99,8,FALSE)="","",VLOOKUP(F80,Scores!$A$1:$I$99,8,FALSE)),"")</f>
        <v/>
      </c>
      <c r="U80" s="60" t="str">
        <f>IFERROR(IF(VLOOKUP(F80,Scores!$A$1:$I$99,9,FALSE)="","",VLOOKUP(F80,Scores!$A$1:$I$99,9,FALSE)),"")</f>
        <v/>
      </c>
      <c r="V80" s="54" t="str">
        <f t="shared" si="43"/>
        <v/>
      </c>
      <c r="W80" s="55" t="str">
        <f t="shared" si="44"/>
        <v/>
      </c>
      <c r="X80" s="55" t="str">
        <f t="shared" si="45"/>
        <v/>
      </c>
      <c r="Y80" s="55" t="str">
        <f t="shared" si="46"/>
        <v/>
      </c>
      <c r="Z80" s="55" t="str">
        <f t="shared" si="47"/>
        <v/>
      </c>
      <c r="AA80" s="55" t="str">
        <f t="shared" si="48"/>
        <v/>
      </c>
      <c r="AB80" s="55" t="str">
        <f t="shared" si="49"/>
        <v/>
      </c>
      <c r="AC80" s="56" t="str">
        <f t="shared" si="50"/>
        <v/>
      </c>
      <c r="AD80" s="79" t="str">
        <f t="shared" si="51"/>
        <v/>
      </c>
      <c r="AE80" s="59" t="str">
        <f t="shared" si="52"/>
        <v/>
      </c>
      <c r="AF80" s="55" t="str" cm="1">
        <f t="array" ref="AF80">IFERROR(IF(AD80&gt;Lookups!$I$5-1,AVERAGE(LARGE(V80:AC80,_xlfn.SEQUENCE(Lookups!$I$5))),AVERAGE(LARGE(V80:AC80,_xlfn.SEQUENCE(AD80)))),"")</f>
        <v/>
      </c>
      <c r="AG80" s="124" t="str">
        <f t="shared" si="53"/>
        <v/>
      </c>
      <c r="AH80" s="78" t="str">
        <f>IF(AD80=Lookups!$I$5+1,LARGE(V80:AC80,5),"")</f>
        <v/>
      </c>
      <c r="AI80" s="78" t="str">
        <f>IF(AD80=Lookups!$I$5+2,LARGE(V80:AC80,6),"")</f>
        <v/>
      </c>
      <c r="AJ80" s="78"/>
      <c r="AK80" s="78"/>
      <c r="AL80" s="140" t="str">
        <f t="shared" si="37"/>
        <v/>
      </c>
      <c r="AM80" s="134" t="str">
        <f>IF(OR(AD80=0,AD80=""),"",IF(COUNTIFS($AR$6:$AR$177,"&gt;"&amp;AR80)+COUNTIFS(AR$6:AR80,"="&amp;AR80)=0,"",COUNTIFS($AR$6:$AR$177,"&gt;"&amp;AR80)+COUNTIFS(AR$6:AR80,"="&amp;AR80)))</f>
        <v/>
      </c>
      <c r="AN80" s="134" t="str">
        <f>IFERROR(IF(OR(AD80=0,AD80=""),"",IF(COUNTIFS($AS$6:$AS$177,"&gt;"&amp;AS80)+COUNTIFS(AS$6:AS80,"="&amp;AS80)=0,"",COUNTIFS($AS$6:$AS$177,"&gt;"&amp;AS80)+COUNTIFS(AS$6:AS80,"="&amp;AS80)+$AM$5)),"")</f>
        <v/>
      </c>
      <c r="AO80" s="134" t="str">
        <f>IFERROR(IF(OR(AD80=0,AD80=""),"",IF(COUNTIFS($AT$6:$AT$177,"&gt;"&amp;AT80)+COUNTIFS(AT$6:AT80,"="&amp;AT80)=0,"",COUNTIFS($AT$6:$AT$177,"&gt;"&amp;AT80)+COUNTIFS(AT$6:AT80,"="&amp;AT80)+$AN$5)),"")</f>
        <v/>
      </c>
      <c r="AP80" s="134" t="str">
        <f>IFERROR(IF(OR(AD80=0,AD80=""),"",IF(COUNTIFS($AU$6:$AU$177,"&gt;"&amp;AU80)+COUNTIFS(AU$6:AU80,"="&amp;AU80)=0,"",COUNTIFS($AU$6:$AU$177,"&gt;"&amp;AU80)+COUNTIFS(AU$6:AU80,"="&amp;AU80)+$AO$5)),"")</f>
        <v/>
      </c>
      <c r="AQ80" s="134" t="str">
        <f>IFERROR(IF(OR(AD80=0,AD80=""),"",IF(COUNTIFS($AV$6:$AV$177,"&gt;"&amp;AV80)+COUNTIFS(AV$6:AV80,"="&amp;AV80)=0,"",COUNTIFS($AV$6:$AV$177,"&gt;"&amp;AV80)+COUNTIFS(AV$6:AV80,"="&amp;AV80)+$AP$5)),"")</f>
        <v/>
      </c>
      <c r="AR80" s="78" t="str">
        <f t="shared" si="38"/>
        <v/>
      </c>
      <c r="AS80" s="78" t="str">
        <f t="shared" si="39"/>
        <v/>
      </c>
      <c r="AT80" s="78" t="str">
        <f t="shared" si="40"/>
        <v/>
      </c>
      <c r="AU80" s="78" t="str">
        <f t="shared" si="41"/>
        <v/>
      </c>
      <c r="AV80" s="78" t="str">
        <f t="shared" si="42"/>
        <v/>
      </c>
    </row>
    <row r="81" spans="1:48" ht="16.5" customHeight="1" x14ac:dyDescent="0.3">
      <c r="A81" t="str">
        <f>IF(AD81="","",COUNTIFS($H$6:$H$120,H81,$AF$6:$AF$120,"&gt;"&amp;AF81)+COUNTIFS(H81:$H$120,H81,AF81:$AF$120,AF81))</f>
        <v/>
      </c>
      <c r="C81" t="str">
        <f t="shared" si="36"/>
        <v/>
      </c>
      <c r="D81" t="str">
        <f>IF(AG81=0,"",IF(COUNTIFS($AG$6:$AG$177,"&gt;"&amp;AG81)+COUNTIFS(AG$6:AG81,"="&amp;AG81)=0,"",COUNTIFS($AG$6:$AG$177,"&gt;"&amp;AG81)+COUNTIFS(AG$6:AG81,"="&amp;AG81)))</f>
        <v/>
      </c>
      <c r="F81" s="19"/>
      <c r="G81" s="109" t="str">
        <f>IFERROR(IF(VLOOKUP(F81,Lookups!$A$2:$F$111,2,FALSE)="","",VLOOKUP(F81,Lookups!$A$2:$F$111,2,FALSE)),"")</f>
        <v/>
      </c>
      <c r="H81" s="109" t="str">
        <f>IFERROR(IF(VLOOKUP(F81,Lookups!$A$2:$F$111,3,FALSE)="","",VLOOKUP(F81,Lookups!$A$2:$F$111,3,FALSE)),"")</f>
        <v/>
      </c>
      <c r="I81" s="109" t="str">
        <f>IFERROR(IF(AF81=0,"",VLOOKUP(AF81,Lookups!$K$2:$L$6,2,TRUE)),"")</f>
        <v/>
      </c>
      <c r="J81" s="109" t="str">
        <f>IF(AD81&lt;Lookups!$I$5,"Y","N")</f>
        <v>N</v>
      </c>
      <c r="K81" s="109" t="str">
        <f>IFERROR(IF(VLOOKUP(F81,Lookups!$A$2:$F$111,4,FALSE)="","",VLOOKUP(F81,Lookups!$A$2:$F$111,4,FALSE)),"")</f>
        <v/>
      </c>
      <c r="L81" s="109" t="str">
        <f>IFERROR(IF(VLOOKUP(F81,Lookups!$A$2:$F$111,5,FALSE)="","",VLOOKUP(F81,Lookups!$A$2:$F$111,5,FALSE)),"")</f>
        <v/>
      </c>
      <c r="M81" s="110" t="str">
        <f>IFERROR(IF(VLOOKUP(F81,Lookups!$A$2:$F$111,6,FALSE)="","",VLOOKUP(F81,Lookups!$A$2:$F$111,6,FALSE)),"")</f>
        <v/>
      </c>
      <c r="N81" s="57" t="str">
        <f>IFERROR(IF(VLOOKUP(F81,Scores!$A$1:$I$99,2,FALSE)="","",VLOOKUP(F81,Scores!$A$1:$I$99,2,FALSE)),"")</f>
        <v/>
      </c>
      <c r="O81" s="58" t="str">
        <f>IFERROR(IF(VLOOKUP(F81,Scores!$A$1:$I$99,3,FALSE)="","",VLOOKUP(F81,Scores!$A$1:$I$99,3,FALSE)),"")</f>
        <v/>
      </c>
      <c r="P81" s="58" t="str">
        <f>IFERROR(IF(VLOOKUP(F81,Scores!$A$1:$I$99,4,FALSE)="","",VLOOKUP(F81,Scores!$A$1:$I$99,4,FALSE)),"")</f>
        <v/>
      </c>
      <c r="Q81" s="58" t="str">
        <f>IFERROR(IF(VLOOKUP(F81,Scores!$A$1:$I$99,5,FALSE)="","",VLOOKUP(F81,Scores!$A$1:$I$99,5,FALSE)),"")</f>
        <v/>
      </c>
      <c r="R81" s="58" t="str">
        <f>IFERROR(IF(VLOOKUP(F81,Scores!$A$1:$I$99,6,FALSE)="","",VLOOKUP(F81,Scores!$A$1:$I$99,6,FALSE)),"")</f>
        <v/>
      </c>
      <c r="S81" s="58" t="str">
        <f>IFERROR(IF(VLOOKUP(F81,Scores!$A$1:$I$99,7,FALSE)="","",VLOOKUP(F81,Scores!$A$1:$I$99,7,FALSE)),"")</f>
        <v/>
      </c>
      <c r="T81" s="58" t="str">
        <f>IFERROR(IF(VLOOKUP(F81,Scores!$A$1:$I$99,8,FALSE)="","",VLOOKUP(F81,Scores!$A$1:$I$99,8,FALSE)),"")</f>
        <v/>
      </c>
      <c r="U81" s="60" t="str">
        <f>IFERROR(IF(VLOOKUP(F81,Scores!$A$1:$I$99,9,FALSE)="","",VLOOKUP(F81,Scores!$A$1:$I$99,9,FALSE)),"")</f>
        <v/>
      </c>
      <c r="V81" s="54" t="str">
        <f t="shared" si="43"/>
        <v/>
      </c>
      <c r="W81" s="55" t="str">
        <f t="shared" si="44"/>
        <v/>
      </c>
      <c r="X81" s="55" t="str">
        <f t="shared" si="45"/>
        <v/>
      </c>
      <c r="Y81" s="55" t="str">
        <f t="shared" si="46"/>
        <v/>
      </c>
      <c r="Z81" s="55" t="str">
        <f t="shared" si="47"/>
        <v/>
      </c>
      <c r="AA81" s="55" t="str">
        <f t="shared" si="48"/>
        <v/>
      </c>
      <c r="AB81" s="55" t="str">
        <f t="shared" si="49"/>
        <v/>
      </c>
      <c r="AC81" s="56" t="str">
        <f t="shared" si="50"/>
        <v/>
      </c>
      <c r="AD81" s="79" t="str">
        <f t="shared" si="51"/>
        <v/>
      </c>
      <c r="AE81" s="59" t="str">
        <f t="shared" si="52"/>
        <v/>
      </c>
      <c r="AF81" s="55" t="str" cm="1">
        <f t="array" ref="AF81">IFERROR(IF(AD81&gt;Lookups!$I$5-1,AVERAGE(LARGE(V81:AC81,_xlfn.SEQUENCE(Lookups!$I$5))),AVERAGE(LARGE(V81:AC81,_xlfn.SEQUENCE(AD81)))),"")</f>
        <v/>
      </c>
      <c r="AG81" s="124" t="str">
        <f t="shared" si="53"/>
        <v/>
      </c>
      <c r="AH81" s="78" t="str">
        <f>IF(AD81=Lookups!$I$5+1,LARGE(V81:AC81,5),"")</f>
        <v/>
      </c>
      <c r="AI81" s="78" t="str">
        <f>IF(AD81=Lookups!$I$5+2,LARGE(V81:AC81,6),"")</f>
        <v/>
      </c>
      <c r="AJ81" s="78"/>
      <c r="AK81" s="78"/>
      <c r="AL81" s="140" t="str">
        <f t="shared" si="37"/>
        <v/>
      </c>
      <c r="AM81" s="134" t="str">
        <f>IF(OR(AD81=0,AD81=""),"",IF(COUNTIFS($AR$6:$AR$177,"&gt;"&amp;AR81)+COUNTIFS(AR$6:AR81,"="&amp;AR81)=0,"",COUNTIFS($AR$6:$AR$177,"&gt;"&amp;AR81)+COUNTIFS(AR$6:AR81,"="&amp;AR81)))</f>
        <v/>
      </c>
      <c r="AN81" s="134" t="str">
        <f>IFERROR(IF(OR(AD81=0,AD81=""),"",IF(COUNTIFS($AS$6:$AS$177,"&gt;"&amp;AS81)+COUNTIFS(AS$6:AS81,"="&amp;AS81)=0,"",COUNTIFS($AS$6:$AS$177,"&gt;"&amp;AS81)+COUNTIFS(AS$6:AS81,"="&amp;AS81)+$AM$5)),"")</f>
        <v/>
      </c>
      <c r="AO81" s="134" t="str">
        <f>IFERROR(IF(OR(AD81=0,AD81=""),"",IF(COUNTIFS($AT$6:$AT$177,"&gt;"&amp;AT81)+COUNTIFS(AT$6:AT81,"="&amp;AT81)=0,"",COUNTIFS($AT$6:$AT$177,"&gt;"&amp;AT81)+COUNTIFS(AT$6:AT81,"="&amp;AT81)+$AN$5)),"")</f>
        <v/>
      </c>
      <c r="AP81" s="134" t="str">
        <f>IFERROR(IF(OR(AD81=0,AD81=""),"",IF(COUNTIFS($AU$6:$AU$177,"&gt;"&amp;AU81)+COUNTIFS(AU$6:AU81,"="&amp;AU81)=0,"",COUNTIFS($AU$6:$AU$177,"&gt;"&amp;AU81)+COUNTIFS(AU$6:AU81,"="&amp;AU81)+$AO$5)),"")</f>
        <v/>
      </c>
      <c r="AQ81" s="134" t="str">
        <f>IFERROR(IF(OR(AD81=0,AD81=""),"",IF(COUNTIFS($AV$6:$AV$177,"&gt;"&amp;AV81)+COUNTIFS(AV$6:AV81,"="&amp;AV81)=0,"",COUNTIFS($AV$6:$AV$177,"&gt;"&amp;AV81)+COUNTIFS(AV$6:AV81,"="&amp;AV81)+$AP$5)),"")</f>
        <v/>
      </c>
      <c r="AR81" s="78" t="str">
        <f t="shared" si="38"/>
        <v/>
      </c>
      <c r="AS81" s="78" t="str">
        <f t="shared" si="39"/>
        <v/>
      </c>
      <c r="AT81" s="78" t="str">
        <f t="shared" si="40"/>
        <v/>
      </c>
      <c r="AU81" s="78" t="str">
        <f t="shared" si="41"/>
        <v/>
      </c>
      <c r="AV81" s="78" t="str">
        <f t="shared" si="42"/>
        <v/>
      </c>
    </row>
    <row r="82" spans="1:48" ht="16.5" customHeight="1" x14ac:dyDescent="0.3">
      <c r="A82" t="str">
        <f>IF(AD82="","",COUNTIFS($H$6:$H$120,H82,$AF$6:$AF$120,"&gt;"&amp;AF82)+COUNTIFS(H82:$H$120,H82,AF82:$AF$120,AF82))</f>
        <v/>
      </c>
      <c r="C82" t="str">
        <f t="shared" si="36"/>
        <v/>
      </c>
      <c r="D82" t="str">
        <f>IF(AG82=0,"",IF(COUNTIFS($AG$6:$AG$177,"&gt;"&amp;AG82)+COUNTIFS(AG$6:AG82,"="&amp;AG82)=0,"",COUNTIFS($AG$6:$AG$177,"&gt;"&amp;AG82)+COUNTIFS(AG$6:AG82,"="&amp;AG82)))</f>
        <v/>
      </c>
      <c r="F82" s="19"/>
      <c r="G82" s="109" t="str">
        <f>IFERROR(IF(VLOOKUP(F82,Lookups!$A$2:$F$111,2,FALSE)="","",VLOOKUP(F82,Lookups!$A$2:$F$111,2,FALSE)),"")</f>
        <v/>
      </c>
      <c r="H82" s="109" t="str">
        <f>IFERROR(IF(VLOOKUP(F82,Lookups!$A$2:$F$111,3,FALSE)="","",VLOOKUP(F82,Lookups!$A$2:$F$111,3,FALSE)),"")</f>
        <v/>
      </c>
      <c r="I82" s="109" t="str">
        <f>IFERROR(IF(AF82=0,"",VLOOKUP(AF82,Lookups!$K$2:$L$6,2,TRUE)),"")</f>
        <v/>
      </c>
      <c r="J82" s="109" t="str">
        <f>IF(AD82&lt;Lookups!$I$5,"Y","N")</f>
        <v>N</v>
      </c>
      <c r="K82" s="109" t="str">
        <f>IFERROR(IF(VLOOKUP(F82,Lookups!$A$2:$F$111,4,FALSE)="","",VLOOKUP(F82,Lookups!$A$2:$F$111,4,FALSE)),"")</f>
        <v/>
      </c>
      <c r="L82" s="109" t="str">
        <f>IFERROR(IF(VLOOKUP(F82,Lookups!$A$2:$F$111,5,FALSE)="","",VLOOKUP(F82,Lookups!$A$2:$F$111,5,FALSE)),"")</f>
        <v/>
      </c>
      <c r="M82" s="110" t="str">
        <f>IFERROR(IF(VLOOKUP(F82,Lookups!$A$2:$F$111,6,FALSE)="","",VLOOKUP(F82,Lookups!$A$2:$F$111,6,FALSE)),"")</f>
        <v/>
      </c>
      <c r="N82" s="57" t="str">
        <f>IFERROR(IF(VLOOKUP(F82,Scores!$A$1:$I$99,2,FALSE)="","",VLOOKUP(F82,Scores!$A$1:$I$99,2,FALSE)),"")</f>
        <v/>
      </c>
      <c r="O82" s="58" t="str">
        <f>IFERROR(IF(VLOOKUP(F82,Scores!$A$1:$I$99,3,FALSE)="","",VLOOKUP(F82,Scores!$A$1:$I$99,3,FALSE)),"")</f>
        <v/>
      </c>
      <c r="P82" s="58" t="str">
        <f>IFERROR(IF(VLOOKUP(F82,Scores!$A$1:$I$99,4,FALSE)="","",VLOOKUP(F82,Scores!$A$1:$I$99,4,FALSE)),"")</f>
        <v/>
      </c>
      <c r="Q82" s="58" t="str">
        <f>IFERROR(IF(VLOOKUP(F82,Scores!$A$1:$I$99,5,FALSE)="","",VLOOKUP(F82,Scores!$A$1:$I$99,5,FALSE)),"")</f>
        <v/>
      </c>
      <c r="R82" s="58" t="str">
        <f>IFERROR(IF(VLOOKUP(F82,Scores!$A$1:$I$99,6,FALSE)="","",VLOOKUP(F82,Scores!$A$1:$I$99,6,FALSE)),"")</f>
        <v/>
      </c>
      <c r="S82" s="58" t="str">
        <f>IFERROR(IF(VLOOKUP(F82,Scores!$A$1:$I$99,7,FALSE)="","",VLOOKUP(F82,Scores!$A$1:$I$99,7,FALSE)),"")</f>
        <v/>
      </c>
      <c r="T82" s="58" t="str">
        <f>IFERROR(IF(VLOOKUP(F82,Scores!$A$1:$I$99,8,FALSE)="","",VLOOKUP(F82,Scores!$A$1:$I$99,8,FALSE)),"")</f>
        <v/>
      </c>
      <c r="U82" s="60" t="str">
        <f>IFERROR(IF(VLOOKUP(F82,Scores!$A$1:$I$99,9,FALSE)="","",VLOOKUP(F82,Scores!$A$1:$I$99,9,FALSE)),"")</f>
        <v/>
      </c>
      <c r="V82" s="54" t="str">
        <f t="shared" si="43"/>
        <v/>
      </c>
      <c r="W82" s="55" t="str">
        <f t="shared" si="44"/>
        <v/>
      </c>
      <c r="X82" s="55" t="str">
        <f t="shared" si="45"/>
        <v/>
      </c>
      <c r="Y82" s="55" t="str">
        <f t="shared" si="46"/>
        <v/>
      </c>
      <c r="Z82" s="55" t="str">
        <f t="shared" si="47"/>
        <v/>
      </c>
      <c r="AA82" s="55" t="str">
        <f t="shared" si="48"/>
        <v/>
      </c>
      <c r="AB82" s="55" t="str">
        <f t="shared" si="49"/>
        <v/>
      </c>
      <c r="AC82" s="56" t="str">
        <f t="shared" si="50"/>
        <v/>
      </c>
      <c r="AD82" s="79" t="str">
        <f t="shared" si="51"/>
        <v/>
      </c>
      <c r="AE82" s="59" t="str">
        <f t="shared" si="52"/>
        <v/>
      </c>
      <c r="AF82" s="55" t="str" cm="1">
        <f t="array" ref="AF82">IFERROR(IF(AD82&gt;Lookups!$I$5-1,AVERAGE(LARGE(V82:AC82,_xlfn.SEQUENCE(Lookups!$I$5))),AVERAGE(LARGE(V82:AC82,_xlfn.SEQUENCE(AD82)))),"")</f>
        <v/>
      </c>
      <c r="AG82" s="124" t="str">
        <f t="shared" si="53"/>
        <v/>
      </c>
      <c r="AH82" s="78" t="str">
        <f>IF(AD82=Lookups!$I$5+1,LARGE(V82:AC82,5),"")</f>
        <v/>
      </c>
      <c r="AI82" s="78" t="str">
        <f>IF(AD82=Lookups!$I$5+2,LARGE(V82:AC82,6),"")</f>
        <v/>
      </c>
      <c r="AJ82" s="78"/>
      <c r="AK82" s="78"/>
      <c r="AL82" s="140" t="str">
        <f t="shared" si="37"/>
        <v/>
      </c>
      <c r="AM82" s="134" t="str">
        <f>IF(OR(AD82=0,AD82=""),"",IF(COUNTIFS($AR$6:$AR$177,"&gt;"&amp;AR82)+COUNTIFS(AR$6:AR82,"="&amp;AR82)=0,"",COUNTIFS($AR$6:$AR$177,"&gt;"&amp;AR82)+COUNTIFS(AR$6:AR82,"="&amp;AR82)))</f>
        <v/>
      </c>
      <c r="AN82" s="134" t="str">
        <f>IFERROR(IF(OR(AD82=0,AD82=""),"",IF(COUNTIFS($AS$6:$AS$177,"&gt;"&amp;AS82)+COUNTIFS(AS$6:AS82,"="&amp;AS82)=0,"",COUNTIFS($AS$6:$AS$177,"&gt;"&amp;AS82)+COUNTIFS(AS$6:AS82,"="&amp;AS82)+$AM$5)),"")</f>
        <v/>
      </c>
      <c r="AO82" s="134" t="str">
        <f>IFERROR(IF(OR(AD82=0,AD82=""),"",IF(COUNTIFS($AT$6:$AT$177,"&gt;"&amp;AT82)+COUNTIFS(AT$6:AT82,"="&amp;AT82)=0,"",COUNTIFS($AT$6:$AT$177,"&gt;"&amp;AT82)+COUNTIFS(AT$6:AT82,"="&amp;AT82)+$AN$5)),"")</f>
        <v/>
      </c>
      <c r="AP82" s="134" t="str">
        <f>IFERROR(IF(OR(AD82=0,AD82=""),"",IF(COUNTIFS($AU$6:$AU$177,"&gt;"&amp;AU82)+COUNTIFS(AU$6:AU82,"="&amp;AU82)=0,"",COUNTIFS($AU$6:$AU$177,"&gt;"&amp;AU82)+COUNTIFS(AU$6:AU82,"="&amp;AU82)+$AO$5)),"")</f>
        <v/>
      </c>
      <c r="AQ82" s="134" t="str">
        <f>IFERROR(IF(OR(AD82=0,AD82=""),"",IF(COUNTIFS($AV$6:$AV$177,"&gt;"&amp;AV82)+COUNTIFS(AV$6:AV82,"="&amp;AV82)=0,"",COUNTIFS($AV$6:$AV$177,"&gt;"&amp;AV82)+COUNTIFS(AV$6:AV82,"="&amp;AV82)+$AP$5)),"")</f>
        <v/>
      </c>
      <c r="AR82" s="78" t="str">
        <f t="shared" si="38"/>
        <v/>
      </c>
      <c r="AS82" s="78" t="str">
        <f t="shared" si="39"/>
        <v/>
      </c>
      <c r="AT82" s="78" t="str">
        <f t="shared" si="40"/>
        <v/>
      </c>
      <c r="AU82" s="78" t="str">
        <f t="shared" si="41"/>
        <v/>
      </c>
      <c r="AV82" s="78" t="str">
        <f t="shared" si="42"/>
        <v/>
      </c>
    </row>
    <row r="83" spans="1:48" ht="16.5" customHeight="1" x14ac:dyDescent="0.3">
      <c r="A83" t="str">
        <f>IF(AD83="","",COUNTIFS($H$6:$H$120,H83,$AF$6:$AF$120,"&gt;"&amp;AF83)+COUNTIFS(H83:$H$120,H83,AF83:$AF$120,AF83))</f>
        <v/>
      </c>
      <c r="C83" t="str">
        <f t="shared" si="36"/>
        <v/>
      </c>
      <c r="D83" t="str">
        <f>IF(AG83=0,"",IF(COUNTIFS($AG$6:$AG$177,"&gt;"&amp;AG83)+COUNTIFS(AG$6:AG83,"="&amp;AG83)=0,"",COUNTIFS($AG$6:$AG$177,"&gt;"&amp;AG83)+COUNTIFS(AG$6:AG83,"="&amp;AG83)))</f>
        <v/>
      </c>
      <c r="F83" s="19"/>
      <c r="G83" s="109" t="str">
        <f>IFERROR(IF(VLOOKUP(F83,Lookups!$A$2:$F$111,2,FALSE)="","",VLOOKUP(F83,Lookups!$A$2:$F$111,2,FALSE)),"")</f>
        <v/>
      </c>
      <c r="H83" s="109" t="str">
        <f>IFERROR(IF(VLOOKUP(F83,Lookups!$A$2:$F$111,3,FALSE)="","",VLOOKUP(F83,Lookups!$A$2:$F$111,3,FALSE)),"")</f>
        <v/>
      </c>
      <c r="I83" s="109" t="str">
        <f>IFERROR(IF(AF83=0,"",VLOOKUP(AF83,Lookups!$K$2:$L$6,2,TRUE)),"")</f>
        <v/>
      </c>
      <c r="J83" s="109" t="str">
        <f>IF(AD83&lt;Lookups!$I$5,"Y","N")</f>
        <v>N</v>
      </c>
      <c r="K83" s="109" t="str">
        <f>IFERROR(IF(VLOOKUP(F83,Lookups!$A$2:$F$111,4,FALSE)="","",VLOOKUP(F83,Lookups!$A$2:$F$111,4,FALSE)),"")</f>
        <v/>
      </c>
      <c r="L83" s="109" t="str">
        <f>IFERROR(IF(VLOOKUP(F83,Lookups!$A$2:$F$111,5,FALSE)="","",VLOOKUP(F83,Lookups!$A$2:$F$111,5,FALSE)),"")</f>
        <v/>
      </c>
      <c r="M83" s="110" t="str">
        <f>IFERROR(IF(VLOOKUP(F83,Lookups!$A$2:$F$111,6,FALSE)="","",VLOOKUP(F83,Lookups!$A$2:$F$111,6,FALSE)),"")</f>
        <v/>
      </c>
      <c r="N83" s="57" t="str">
        <f>IFERROR(IF(VLOOKUP(F83,Scores!$A$1:$I$99,2,FALSE)="","",VLOOKUP(F83,Scores!$A$1:$I$99,2,FALSE)),"")</f>
        <v/>
      </c>
      <c r="O83" s="58" t="str">
        <f>IFERROR(IF(VLOOKUP(F83,Scores!$A$1:$I$99,3,FALSE)="","",VLOOKUP(F83,Scores!$A$1:$I$99,3,FALSE)),"")</f>
        <v/>
      </c>
      <c r="P83" s="58" t="str">
        <f>IFERROR(IF(VLOOKUP(F83,Scores!$A$1:$I$99,4,FALSE)="","",VLOOKUP(F83,Scores!$A$1:$I$99,4,FALSE)),"")</f>
        <v/>
      </c>
      <c r="Q83" s="58" t="str">
        <f>IFERROR(IF(VLOOKUP(F83,Scores!$A$1:$I$99,5,FALSE)="","",VLOOKUP(F83,Scores!$A$1:$I$99,5,FALSE)),"")</f>
        <v/>
      </c>
      <c r="R83" s="58" t="str">
        <f>IFERROR(IF(VLOOKUP(F83,Scores!$A$1:$I$99,6,FALSE)="","",VLOOKUP(F83,Scores!$A$1:$I$99,6,FALSE)),"")</f>
        <v/>
      </c>
      <c r="S83" s="58" t="str">
        <f>IFERROR(IF(VLOOKUP(F83,Scores!$A$1:$I$99,7,FALSE)="","",VLOOKUP(F83,Scores!$A$1:$I$99,7,FALSE)),"")</f>
        <v/>
      </c>
      <c r="T83" s="58" t="str">
        <f>IFERROR(IF(VLOOKUP(F83,Scores!$A$1:$I$99,8,FALSE)="","",VLOOKUP(F83,Scores!$A$1:$I$99,8,FALSE)),"")</f>
        <v/>
      </c>
      <c r="U83" s="60" t="str">
        <f>IFERROR(IF(VLOOKUP(F83,Scores!$A$1:$I$99,9,FALSE)="","",VLOOKUP(F83,Scores!$A$1:$I$99,9,FALSE)),"")</f>
        <v/>
      </c>
      <c r="V83" s="54" t="str">
        <f t="shared" si="43"/>
        <v/>
      </c>
      <c r="W83" s="55" t="str">
        <f t="shared" si="44"/>
        <v/>
      </c>
      <c r="X83" s="55" t="str">
        <f t="shared" si="45"/>
        <v/>
      </c>
      <c r="Y83" s="55" t="str">
        <f t="shared" si="46"/>
        <v/>
      </c>
      <c r="Z83" s="55" t="str">
        <f t="shared" si="47"/>
        <v/>
      </c>
      <c r="AA83" s="55" t="str">
        <f t="shared" si="48"/>
        <v/>
      </c>
      <c r="AB83" s="55" t="str">
        <f t="shared" si="49"/>
        <v/>
      </c>
      <c r="AC83" s="56" t="str">
        <f t="shared" si="50"/>
        <v/>
      </c>
      <c r="AD83" s="79" t="str">
        <f t="shared" si="51"/>
        <v/>
      </c>
      <c r="AE83" s="59" t="str">
        <f t="shared" si="52"/>
        <v/>
      </c>
      <c r="AF83" s="55" t="str" cm="1">
        <f t="array" ref="AF83">IFERROR(IF(AD83&gt;Lookups!$I$5-1,AVERAGE(LARGE(V83:AC83,_xlfn.SEQUENCE(Lookups!$I$5))),AVERAGE(LARGE(V83:AC83,_xlfn.SEQUENCE(AD83)))),"")</f>
        <v/>
      </c>
      <c r="AG83" s="124" t="str">
        <f t="shared" si="53"/>
        <v/>
      </c>
      <c r="AH83" s="78" t="str">
        <f>IF(AD83=Lookups!$I$5+1,LARGE(V83:AC83,5),"")</f>
        <v/>
      </c>
      <c r="AI83" s="78" t="str">
        <f>IF(AD83=Lookups!$I$5+2,LARGE(V83:AC83,6),"")</f>
        <v/>
      </c>
      <c r="AJ83" s="78"/>
      <c r="AK83" s="78"/>
      <c r="AL83" s="140" t="str">
        <f t="shared" si="37"/>
        <v/>
      </c>
      <c r="AM83" s="134" t="str">
        <f>IF(OR(AD83=0,AD83=""),"",IF(COUNTIFS($AR$6:$AR$177,"&gt;"&amp;AR83)+COUNTIFS(AR$6:AR83,"="&amp;AR83)=0,"",COUNTIFS($AR$6:$AR$177,"&gt;"&amp;AR83)+COUNTIFS(AR$6:AR83,"="&amp;AR83)))</f>
        <v/>
      </c>
      <c r="AN83" s="134" t="str">
        <f>IFERROR(IF(OR(AD83=0,AD83=""),"",IF(COUNTIFS($AS$6:$AS$177,"&gt;"&amp;AS83)+COUNTIFS(AS$6:AS83,"="&amp;AS83)=0,"",COUNTIFS($AS$6:$AS$177,"&gt;"&amp;AS83)+COUNTIFS(AS$6:AS83,"="&amp;AS83)+$AM$5)),"")</f>
        <v/>
      </c>
      <c r="AO83" s="134" t="str">
        <f>IFERROR(IF(OR(AD83=0,AD83=""),"",IF(COUNTIFS($AT$6:$AT$177,"&gt;"&amp;AT83)+COUNTIFS(AT$6:AT83,"="&amp;AT83)=0,"",COUNTIFS($AT$6:$AT$177,"&gt;"&amp;AT83)+COUNTIFS(AT$6:AT83,"="&amp;AT83)+$AN$5)),"")</f>
        <v/>
      </c>
      <c r="AP83" s="134" t="str">
        <f>IFERROR(IF(OR(AD83=0,AD83=""),"",IF(COUNTIFS($AU$6:$AU$177,"&gt;"&amp;AU83)+COUNTIFS(AU$6:AU83,"="&amp;AU83)=0,"",COUNTIFS($AU$6:$AU$177,"&gt;"&amp;AU83)+COUNTIFS(AU$6:AU83,"="&amp;AU83)+$AO$5)),"")</f>
        <v/>
      </c>
      <c r="AQ83" s="134" t="str">
        <f>IFERROR(IF(OR(AD83=0,AD83=""),"",IF(COUNTIFS($AV$6:$AV$177,"&gt;"&amp;AV83)+COUNTIFS(AV$6:AV83,"="&amp;AV83)=0,"",COUNTIFS($AV$6:$AV$177,"&gt;"&amp;AV83)+COUNTIFS(AV$6:AV83,"="&amp;AV83)+$AP$5)),"")</f>
        <v/>
      </c>
      <c r="AR83" s="78" t="str">
        <f t="shared" si="38"/>
        <v/>
      </c>
      <c r="AS83" s="78" t="str">
        <f t="shared" si="39"/>
        <v/>
      </c>
      <c r="AT83" s="78" t="str">
        <f t="shared" si="40"/>
        <v/>
      </c>
      <c r="AU83" s="78" t="str">
        <f t="shared" si="41"/>
        <v/>
      </c>
      <c r="AV83" s="78" t="str">
        <f t="shared" si="42"/>
        <v/>
      </c>
    </row>
    <row r="84" spans="1:48" ht="16.5" customHeight="1" x14ac:dyDescent="0.3">
      <c r="A84" t="str">
        <f>IF(AD84="","",COUNTIFS($H$6:$H$120,H84,$AF$6:$AF$120,"&gt;"&amp;AF84)+COUNTIFS(H84:$H$120,H84,AF84:$AF$120,AF84))</f>
        <v/>
      </c>
      <c r="C84" t="str">
        <f t="shared" si="36"/>
        <v/>
      </c>
      <c r="D84" t="str">
        <f>IF(AG84=0,"",IF(COUNTIFS($AG$6:$AG$177,"&gt;"&amp;AG84)+COUNTIFS(AG$6:AG84,"="&amp;AG84)=0,"",COUNTIFS($AG$6:$AG$177,"&gt;"&amp;AG84)+COUNTIFS(AG$6:AG84,"="&amp;AG84)))</f>
        <v/>
      </c>
      <c r="F84" s="19"/>
      <c r="G84" s="109" t="str">
        <f>IFERROR(IF(VLOOKUP(F84,Lookups!$A$2:$F$111,2,FALSE)="","",VLOOKUP(F84,Lookups!$A$2:$F$111,2,FALSE)),"")</f>
        <v/>
      </c>
      <c r="H84" s="109" t="str">
        <f>IFERROR(IF(VLOOKUP(F84,Lookups!$A$2:$F$111,3,FALSE)="","",VLOOKUP(F84,Lookups!$A$2:$F$111,3,FALSE)),"")</f>
        <v/>
      </c>
      <c r="I84" s="109" t="str">
        <f>IFERROR(IF(AF84=0,"",VLOOKUP(AF84,Lookups!$K$2:$L$6,2,TRUE)),"")</f>
        <v/>
      </c>
      <c r="J84" s="109" t="str">
        <f>IF(AD84&lt;Lookups!$I$5,"Y","N")</f>
        <v>N</v>
      </c>
      <c r="K84" s="109" t="str">
        <f>IFERROR(IF(VLOOKUP(F84,Lookups!$A$2:$F$111,4,FALSE)="","",VLOOKUP(F84,Lookups!$A$2:$F$111,4,FALSE)),"")</f>
        <v/>
      </c>
      <c r="L84" s="109" t="str">
        <f>IFERROR(IF(VLOOKUP(F84,Lookups!$A$2:$F$111,5,FALSE)="","",VLOOKUP(F84,Lookups!$A$2:$F$111,5,FALSE)),"")</f>
        <v/>
      </c>
      <c r="M84" s="110" t="str">
        <f>IFERROR(IF(VLOOKUP(F84,Lookups!$A$2:$F$111,6,FALSE)="","",VLOOKUP(F84,Lookups!$A$2:$F$111,6,FALSE)),"")</f>
        <v/>
      </c>
      <c r="N84" s="57" t="str">
        <f>IFERROR(IF(VLOOKUP(F84,Scores!$A$1:$I$99,2,FALSE)="","",VLOOKUP(F84,Scores!$A$1:$I$99,2,FALSE)),"")</f>
        <v/>
      </c>
      <c r="O84" s="58" t="str">
        <f>IFERROR(IF(VLOOKUP(F84,Scores!$A$1:$I$99,3,FALSE)="","",VLOOKUP(F84,Scores!$A$1:$I$99,3,FALSE)),"")</f>
        <v/>
      </c>
      <c r="P84" s="58" t="str">
        <f>IFERROR(IF(VLOOKUP(F84,Scores!$A$1:$I$99,4,FALSE)="","",VLOOKUP(F84,Scores!$A$1:$I$99,4,FALSE)),"")</f>
        <v/>
      </c>
      <c r="Q84" s="58" t="str">
        <f>IFERROR(IF(VLOOKUP(F84,Scores!$A$1:$I$99,5,FALSE)="","",VLOOKUP(F84,Scores!$A$1:$I$99,5,FALSE)),"")</f>
        <v/>
      </c>
      <c r="R84" s="58" t="str">
        <f>IFERROR(IF(VLOOKUP(F84,Scores!$A$1:$I$99,6,FALSE)="","",VLOOKUP(F84,Scores!$A$1:$I$99,6,FALSE)),"")</f>
        <v/>
      </c>
      <c r="S84" s="58" t="str">
        <f>IFERROR(IF(VLOOKUP(F84,Scores!$A$1:$I$99,7,FALSE)="","",VLOOKUP(F84,Scores!$A$1:$I$99,7,FALSE)),"")</f>
        <v/>
      </c>
      <c r="T84" s="58" t="str">
        <f>IFERROR(IF(VLOOKUP(F84,Scores!$A$1:$I$99,8,FALSE)="","",VLOOKUP(F84,Scores!$A$1:$I$99,8,FALSE)),"")</f>
        <v/>
      </c>
      <c r="U84" s="60" t="str">
        <f>IFERROR(IF(VLOOKUP(F84,Scores!$A$1:$I$99,9,FALSE)="","",VLOOKUP(F84,Scores!$A$1:$I$99,9,FALSE)),"")</f>
        <v/>
      </c>
      <c r="V84" s="54" t="str">
        <f t="shared" si="43"/>
        <v/>
      </c>
      <c r="W84" s="55" t="str">
        <f t="shared" si="44"/>
        <v/>
      </c>
      <c r="X84" s="55" t="str">
        <f t="shared" si="45"/>
        <v/>
      </c>
      <c r="Y84" s="55" t="str">
        <f t="shared" si="46"/>
        <v/>
      </c>
      <c r="Z84" s="55" t="str">
        <f t="shared" si="47"/>
        <v/>
      </c>
      <c r="AA84" s="55" t="str">
        <f t="shared" si="48"/>
        <v/>
      </c>
      <c r="AB84" s="55" t="str">
        <f t="shared" si="49"/>
        <v/>
      </c>
      <c r="AC84" s="56" t="str">
        <f t="shared" si="50"/>
        <v/>
      </c>
      <c r="AD84" s="79" t="str">
        <f t="shared" si="51"/>
        <v/>
      </c>
      <c r="AE84" s="59" t="str">
        <f t="shared" si="52"/>
        <v/>
      </c>
      <c r="AF84" s="55" t="str" cm="1">
        <f t="array" ref="AF84">IFERROR(IF(AD84&gt;Lookups!$I$5-1,AVERAGE(LARGE(V84:AC84,_xlfn.SEQUENCE(Lookups!$I$5))),AVERAGE(LARGE(V84:AC84,_xlfn.SEQUENCE(AD84)))),"")</f>
        <v/>
      </c>
      <c r="AG84" s="124" t="str">
        <f t="shared" si="53"/>
        <v/>
      </c>
      <c r="AH84" s="78" t="str">
        <f>IF(AD84=Lookups!$I$5+1,LARGE(V84:AC84,5),"")</f>
        <v/>
      </c>
      <c r="AI84" s="78" t="str">
        <f>IF(AD84=Lookups!$I$5+2,LARGE(V84:AC84,6),"")</f>
        <v/>
      </c>
      <c r="AJ84" s="78"/>
      <c r="AK84" s="78"/>
      <c r="AL84" s="140" t="str">
        <f t="shared" si="37"/>
        <v/>
      </c>
      <c r="AM84" s="134" t="str">
        <f>IF(OR(AD84=0,AD84=""),"",IF(COUNTIFS($AR$6:$AR$177,"&gt;"&amp;AR84)+COUNTIFS(AR$6:AR84,"="&amp;AR84)=0,"",COUNTIFS($AR$6:$AR$177,"&gt;"&amp;AR84)+COUNTIFS(AR$6:AR84,"="&amp;AR84)))</f>
        <v/>
      </c>
      <c r="AN84" s="134" t="str">
        <f>IFERROR(IF(OR(AD84=0,AD84=""),"",IF(COUNTIFS($AS$6:$AS$177,"&gt;"&amp;AS84)+COUNTIFS(AS$6:AS84,"="&amp;AS84)=0,"",COUNTIFS($AS$6:$AS$177,"&gt;"&amp;AS84)+COUNTIFS(AS$6:AS84,"="&amp;AS84)+$AM$5)),"")</f>
        <v/>
      </c>
      <c r="AO84" s="134" t="str">
        <f>IFERROR(IF(OR(AD84=0,AD84=""),"",IF(COUNTIFS($AT$6:$AT$177,"&gt;"&amp;AT84)+COUNTIFS(AT$6:AT84,"="&amp;AT84)=0,"",COUNTIFS($AT$6:$AT$177,"&gt;"&amp;AT84)+COUNTIFS(AT$6:AT84,"="&amp;AT84)+$AN$5)),"")</f>
        <v/>
      </c>
      <c r="AP84" s="134" t="str">
        <f>IFERROR(IF(OR(AD84=0,AD84=""),"",IF(COUNTIFS($AU$6:$AU$177,"&gt;"&amp;AU84)+COUNTIFS(AU$6:AU84,"="&amp;AU84)=0,"",COUNTIFS($AU$6:$AU$177,"&gt;"&amp;AU84)+COUNTIFS(AU$6:AU84,"="&amp;AU84)+$AO$5)),"")</f>
        <v/>
      </c>
      <c r="AQ84" s="134" t="str">
        <f>IFERROR(IF(OR(AD84=0,AD84=""),"",IF(COUNTIFS($AV$6:$AV$177,"&gt;"&amp;AV84)+COUNTIFS(AV$6:AV84,"="&amp;AV84)=0,"",COUNTIFS($AV$6:$AV$177,"&gt;"&amp;AV84)+COUNTIFS(AV$6:AV84,"="&amp;AV84)+$AP$5)),"")</f>
        <v/>
      </c>
      <c r="AR84" s="78" t="str">
        <f t="shared" si="38"/>
        <v/>
      </c>
      <c r="AS84" s="78" t="str">
        <f t="shared" si="39"/>
        <v/>
      </c>
      <c r="AT84" s="78" t="str">
        <f t="shared" si="40"/>
        <v/>
      </c>
      <c r="AU84" s="78" t="str">
        <f t="shared" si="41"/>
        <v/>
      </c>
      <c r="AV84" s="78" t="str">
        <f t="shared" si="42"/>
        <v/>
      </c>
    </row>
    <row r="85" spans="1:48" ht="16.5" customHeight="1" x14ac:dyDescent="0.3">
      <c r="A85" t="str">
        <f>IF(AD85="","",COUNTIFS($H$6:$H$120,H85,$AF$6:$AF$120,"&gt;"&amp;AF85)+COUNTIFS(H85:$H$120,H85,AF85:$AF$120,AF85))</f>
        <v/>
      </c>
      <c r="C85" t="str">
        <f t="shared" si="36"/>
        <v/>
      </c>
      <c r="D85" t="str">
        <f>IF(AG85=0,"",IF(COUNTIFS($AG$6:$AG$177,"&gt;"&amp;AG85)+COUNTIFS(AG$6:AG85,"="&amp;AG85)=0,"",COUNTIFS($AG$6:$AG$177,"&gt;"&amp;AG85)+COUNTIFS(AG$6:AG85,"="&amp;AG85)))</f>
        <v/>
      </c>
      <c r="F85" s="17" t="s">
        <v>105</v>
      </c>
      <c r="G85" s="113">
        <f>IFERROR(IF(VLOOKUP(F85,Lookups!$A$2:$F$111,2,FALSE)="","",VLOOKUP(F85,Lookups!$A$2:$F$111,2,FALSE)),"")</f>
        <v>56</v>
      </c>
      <c r="H85" s="113" t="str">
        <f>IFERROR(IF(VLOOKUP(F85,Lookups!$A$2:$F$111,3,FALSE)="","",VLOOKUP(F85,Lookups!$A$2:$F$111,3,FALSE)),"")</f>
        <v>U/G</v>
      </c>
      <c r="I85" s="113" t="str">
        <f>IFERROR(IF(AF85=0,"",VLOOKUP(AF85,Lookups!$K$2:$L$6,2,TRUE)),"")</f>
        <v/>
      </c>
      <c r="J85" s="113" t="str">
        <f>IF(AD85&lt;Lookups!$I$5,"Y","N")</f>
        <v>N</v>
      </c>
      <c r="K85" s="113" t="str">
        <f>IFERROR(IF(VLOOKUP(F85,Lookups!$A$2:$F$111,4,FALSE)="","",VLOOKUP(F85,Lookups!$A$2:$F$111,4,FALSE)),"")</f>
        <v>PCP</v>
      </c>
      <c r="L85" s="113" t="str">
        <f>IFERROR(IF(VLOOKUP(F85,Lookups!$A$2:$F$111,5,FALSE)="","",VLOOKUP(F85,Lookups!$A$2:$F$111,5,FALSE)),"")</f>
        <v>Buccaneers</v>
      </c>
      <c r="M85" s="114" t="str">
        <f>IFERROR(IF(VLOOKUP(F85,Lookups!$A$2:$F$111,6,FALSE)="","",VLOOKUP(F85,Lookups!$A$2:$F$111,6,FALSE)),"")</f>
        <v/>
      </c>
      <c r="N85" s="57" t="str">
        <f>IFERROR(IF(VLOOKUP(F85,Scores!$A$1:$I$99,2,FALSE)="","",VLOOKUP(F85,Scores!$A$1:$I$99,2,FALSE)),"")</f>
        <v/>
      </c>
      <c r="O85" s="58" t="str">
        <f>IFERROR(IF(VLOOKUP(F85,Scores!$A$1:$I$99,3,FALSE)="","",VLOOKUP(F85,Scores!$A$1:$I$99,3,FALSE)),"")</f>
        <v/>
      </c>
      <c r="P85" s="58" t="str">
        <f>IFERROR(IF(VLOOKUP(F85,Scores!$A$1:$I$99,4,FALSE)="","",VLOOKUP(F85,Scores!$A$1:$I$99,4,FALSE)),"")</f>
        <v/>
      </c>
      <c r="Q85" s="58" t="str">
        <f>IFERROR(IF(VLOOKUP(F85,Scores!$A$1:$I$99,5,FALSE)="","",VLOOKUP(F85,Scores!$A$1:$I$99,5,FALSE)),"")</f>
        <v/>
      </c>
      <c r="R85" s="58" t="str">
        <f>IFERROR(IF(VLOOKUP(F85,Scores!$A$1:$I$99,6,FALSE)="","",VLOOKUP(F85,Scores!$A$1:$I$99,6,FALSE)),"")</f>
        <v/>
      </c>
      <c r="S85" s="58" t="str">
        <f>IFERROR(IF(VLOOKUP(F85,Scores!$A$1:$I$99,7,FALSE)="","",VLOOKUP(F85,Scores!$A$1:$I$99,7,FALSE)),"")</f>
        <v/>
      </c>
      <c r="T85" s="58" t="str">
        <f>IFERROR(IF(VLOOKUP(F85,Scores!$A$1:$I$99,8,FALSE)="","",VLOOKUP(F85,Scores!$A$1:$I$99,8,FALSE)),"")</f>
        <v/>
      </c>
      <c r="U85" s="60" t="str">
        <f>IFERROR(IF(VLOOKUP(F85,Scores!$A$1:$I$99,9,FALSE)="","",VLOOKUP(F85,Scores!$A$1:$I$99,9,FALSE)),"")</f>
        <v/>
      </c>
      <c r="V85" s="54" t="str">
        <f t="shared" si="43"/>
        <v/>
      </c>
      <c r="W85" s="55" t="str">
        <f t="shared" si="44"/>
        <v/>
      </c>
      <c r="X85" s="55" t="str">
        <f t="shared" si="45"/>
        <v/>
      </c>
      <c r="Y85" s="55" t="str">
        <f t="shared" si="46"/>
        <v/>
      </c>
      <c r="Z85" s="55" t="str">
        <f t="shared" si="47"/>
        <v/>
      </c>
      <c r="AA85" s="55" t="str">
        <f t="shared" si="48"/>
        <v/>
      </c>
      <c r="AB85" s="55" t="str">
        <f t="shared" si="49"/>
        <v/>
      </c>
      <c r="AC85" s="56" t="str">
        <f t="shared" si="50"/>
        <v/>
      </c>
      <c r="AD85" s="79" t="str">
        <f t="shared" si="51"/>
        <v/>
      </c>
      <c r="AE85" s="59" t="str">
        <f t="shared" si="52"/>
        <v/>
      </c>
      <c r="AF85" s="55" t="str" cm="1">
        <f t="array" ref="AF85">IFERROR(IF(AD85&gt;Lookups!$I$5-1,AVERAGE(LARGE(V85:AC85,_xlfn.SEQUENCE(Lookups!$I$5))),AVERAGE(LARGE(V85:AC85,_xlfn.SEQUENCE(AD85)))),"")</f>
        <v/>
      </c>
      <c r="AG85" s="124" t="str">
        <f t="shared" si="53"/>
        <v/>
      </c>
      <c r="AH85" s="78" t="str">
        <f>IF(AD85=Lookups!$I$5+1,LARGE(V85:AC85,5),"")</f>
        <v/>
      </c>
      <c r="AI85" s="78" t="str">
        <f>IF(AD85=Lookups!$I$5+2,LARGE(V85:AC85,6),"")</f>
        <v/>
      </c>
      <c r="AJ85" s="78"/>
      <c r="AK85" s="78"/>
      <c r="AL85" s="140" t="str">
        <f t="shared" si="37"/>
        <v/>
      </c>
      <c r="AM85" s="134" t="str">
        <f>IF(OR(AD85=0,AD85=""),"",IF(COUNTIFS($AR$6:$AR$177,"&gt;"&amp;AR85)+COUNTIFS(AR$6:AR85,"="&amp;AR85)=0,"",COUNTIFS($AR$6:$AR$177,"&gt;"&amp;AR85)+COUNTIFS(AR$6:AR85,"="&amp;AR85)))</f>
        <v/>
      </c>
      <c r="AN85" s="134" t="str">
        <f>IFERROR(IF(OR(AD85=0,AD85=""),"",IF(COUNTIFS($AS$6:$AS$177,"&gt;"&amp;AS85)+COUNTIFS(AS$6:AS85,"="&amp;AS85)=0,"",COUNTIFS($AS$6:$AS$177,"&gt;"&amp;AS85)+COUNTIFS(AS$6:AS85,"="&amp;AS85)+$AM$5)),"")</f>
        <v/>
      </c>
      <c r="AO85" s="134" t="str">
        <f>IFERROR(IF(OR(AD85=0,AD85=""),"",IF(COUNTIFS($AT$6:$AT$177,"&gt;"&amp;AT85)+COUNTIFS(AT$6:AT85,"="&amp;AT85)=0,"",COUNTIFS($AT$6:$AT$177,"&gt;"&amp;AT85)+COUNTIFS(AT$6:AT85,"="&amp;AT85)+$AN$5)),"")</f>
        <v/>
      </c>
      <c r="AP85" s="134" t="str">
        <f>IFERROR(IF(OR(AD85=0,AD85=""),"",IF(COUNTIFS($AU$6:$AU$177,"&gt;"&amp;AU85)+COUNTIFS(AU$6:AU85,"="&amp;AU85)=0,"",COUNTIFS($AU$6:$AU$177,"&gt;"&amp;AU85)+COUNTIFS(AU$6:AU85,"="&amp;AU85)+$AO$5)),"")</f>
        <v/>
      </c>
      <c r="AQ85" s="134" t="str">
        <f>IFERROR(IF(OR(AD85=0,AD85=""),"",IF(COUNTIFS($AV$6:$AV$177,"&gt;"&amp;AV85)+COUNTIFS(AV$6:AV85,"="&amp;AV85)=0,"",COUNTIFS($AV$6:$AV$177,"&gt;"&amp;AV85)+COUNTIFS(AV$6:AV85,"="&amp;AV85)+$AP$5)),"")</f>
        <v/>
      </c>
      <c r="AR85" s="78" t="str">
        <f t="shared" si="38"/>
        <v/>
      </c>
      <c r="AS85" s="78" t="str">
        <f t="shared" si="39"/>
        <v/>
      </c>
      <c r="AT85" s="78" t="str">
        <f t="shared" si="40"/>
        <v/>
      </c>
      <c r="AU85" s="78" t="str">
        <f t="shared" si="41"/>
        <v/>
      </c>
      <c r="AV85" s="78" t="str">
        <f t="shared" si="42"/>
        <v/>
      </c>
    </row>
    <row r="86" spans="1:48" ht="16.5" customHeight="1" x14ac:dyDescent="0.3">
      <c r="A86">
        <f>IF(AD86="","",COUNTIFS($H$6:$H$120,H86,$AF$6:$AF$120,"&gt;"&amp;AF86)+COUNTIFS(H86:$H$120,H86,AF86:$AF$120,AF86))</f>
        <v>1</v>
      </c>
      <c r="C86">
        <f t="shared" si="36"/>
        <v>38</v>
      </c>
      <c r="D86">
        <f>IF(AG86=0,"",IF(COUNTIFS($AG$6:$AG$177,"&gt;"&amp;AG86)+COUNTIFS(AG$6:AG86,"="&amp;AG86)=0,"",COUNTIFS($AG$6:$AG$177,"&gt;"&amp;AG86)+COUNTIFS(AG$6:AG86,"="&amp;AG86)))</f>
        <v>39</v>
      </c>
      <c r="F86" s="19" t="s">
        <v>106</v>
      </c>
      <c r="G86" s="113">
        <f>IFERROR(IF(VLOOKUP(F86,Lookups!$A$2:$F$111,2,FALSE)="","",VLOOKUP(F86,Lookups!$A$2:$F$111,2,FALSE)),"")</f>
        <v>60</v>
      </c>
      <c r="H86" s="113" t="str">
        <f>IFERROR(IF(VLOOKUP(F86,Lookups!$A$2:$F$111,3,FALSE)="","",VLOOKUP(F86,Lookups!$A$2:$F$111,3,FALSE)),"")</f>
        <v>U/G</v>
      </c>
      <c r="I86" s="113" t="str">
        <f>IFERROR(IF(AF86=0,"",VLOOKUP(AF86,Lookups!$K$2:$L$6,2,TRUE)),"")</f>
        <v>AA</v>
      </c>
      <c r="J86" s="113" t="str">
        <f>IF(AD86&lt;Lookups!$I$5,"Y","N")</f>
        <v>Y</v>
      </c>
      <c r="K86" s="113" t="str">
        <f>IFERROR(IF(VLOOKUP(F86,Lookups!$A$2:$F$111,4,FALSE)="","",VLOOKUP(F86,Lookups!$A$2:$F$111,4,FALSE)),"")</f>
        <v>PCP</v>
      </c>
      <c r="L86" s="113" t="str">
        <f>IFERROR(IF(VLOOKUP(F86,Lookups!$A$2:$F$111,5,FALSE)="","",VLOOKUP(F86,Lookups!$A$2:$F$111,5,FALSE)),"")</f>
        <v>Frobury</v>
      </c>
      <c r="M86" s="114" t="str">
        <f>IFERROR(IF(VLOOKUP(F86,Lookups!$A$2:$F$111,6,FALSE)="","",VLOOKUP(F86,Lookups!$A$2:$F$111,6,FALSE)),"")</f>
        <v/>
      </c>
      <c r="N86" s="57">
        <f>IFERROR(IF(VLOOKUP(F86,Scores!$A$1:$I$99,2,FALSE)="","",VLOOKUP(F86,Scores!$A$1:$I$99,2,FALSE)),"")</f>
        <v>36</v>
      </c>
      <c r="O86" s="58" t="str">
        <f>IFERROR(IF(VLOOKUP(F86,Scores!$A$1:$I$99,3,FALSE)="","",VLOOKUP(F86,Scores!$A$1:$I$99,3,FALSE)),"")</f>
        <v/>
      </c>
      <c r="P86" s="58" t="str">
        <f>IFERROR(IF(VLOOKUP(F86,Scores!$A$1:$I$99,4,FALSE)="","",VLOOKUP(F86,Scores!$A$1:$I$99,4,FALSE)),"")</f>
        <v/>
      </c>
      <c r="Q86" s="58" t="str">
        <f>IFERROR(IF(VLOOKUP(F86,Scores!$A$1:$I$99,5,FALSE)="","",VLOOKUP(F86,Scores!$A$1:$I$99,5,FALSE)),"")</f>
        <v/>
      </c>
      <c r="R86" s="58" t="str">
        <f>IFERROR(IF(VLOOKUP(F86,Scores!$A$1:$I$99,6,FALSE)="","",VLOOKUP(F86,Scores!$A$1:$I$99,6,FALSE)),"")</f>
        <v/>
      </c>
      <c r="S86" s="58" t="str">
        <f>IFERROR(IF(VLOOKUP(F86,Scores!$A$1:$I$99,7,FALSE)="","",VLOOKUP(F86,Scores!$A$1:$I$99,7,FALSE)),"")</f>
        <v/>
      </c>
      <c r="T86" s="58" t="str">
        <f>IFERROR(IF(VLOOKUP(F86,Scores!$A$1:$I$99,8,FALSE)="","",VLOOKUP(F86,Scores!$A$1:$I$99,8,FALSE)),"")</f>
        <v/>
      </c>
      <c r="U86" s="60" t="str">
        <f>IFERROR(IF(VLOOKUP(F86,Scores!$A$1:$I$99,9,FALSE)="","",VLOOKUP(F86,Scores!$A$1:$I$99,9,FALSE)),"")</f>
        <v/>
      </c>
      <c r="V86" s="54">
        <f t="shared" si="43"/>
        <v>0.97297297297297303</v>
      </c>
      <c r="W86" s="55" t="str">
        <f t="shared" si="44"/>
        <v/>
      </c>
      <c r="X86" s="55" t="str">
        <f t="shared" si="45"/>
        <v/>
      </c>
      <c r="Y86" s="55" t="str">
        <f t="shared" si="46"/>
        <v/>
      </c>
      <c r="Z86" s="55" t="str">
        <f t="shared" si="47"/>
        <v/>
      </c>
      <c r="AA86" s="55" t="str">
        <f t="shared" si="48"/>
        <v/>
      </c>
      <c r="AB86" s="55" t="str">
        <f t="shared" si="49"/>
        <v/>
      </c>
      <c r="AC86" s="56" t="str">
        <f t="shared" si="50"/>
        <v/>
      </c>
      <c r="AD86" s="79">
        <f t="shared" si="51"/>
        <v>1</v>
      </c>
      <c r="AE86" s="59">
        <f t="shared" si="52"/>
        <v>0.97297297297297303</v>
      </c>
      <c r="AF86" s="55" cm="1">
        <f t="array" ref="AF86">IFERROR(IF(AD86&gt;Lookups!$I$5-1,AVERAGE(LARGE(V86:AC86,_xlfn.SEQUENCE(Lookups!$I$5))),AVERAGE(LARGE(V86:AC86,_xlfn.SEQUENCE(AD86)))),"")</f>
        <v>0.97297297297297303</v>
      </c>
      <c r="AG86" s="124">
        <f t="shared" si="53"/>
        <v>36</v>
      </c>
      <c r="AH86" s="78" t="str">
        <f>IF(AD86=Lookups!$I$5+1,LARGE(V86:AC86,5),"")</f>
        <v/>
      </c>
      <c r="AI86" s="78" t="str">
        <f>IF(AD86=Lookups!$I$5+2,LARGE(V86:AC86,6),"")</f>
        <v/>
      </c>
      <c r="AJ86" s="78"/>
      <c r="AK86" s="78"/>
      <c r="AL86" s="140">
        <f t="shared" si="37"/>
        <v>38</v>
      </c>
      <c r="AM86" s="134" t="str">
        <f>IF(OR(AD86=0,AD86=""),"",IF(COUNTIFS($AR$6:$AR$177,"&gt;"&amp;AR86)+COUNTIFS(AR$6:AR86,"="&amp;AR86)=0,"",COUNTIFS($AR$6:$AR$177,"&gt;"&amp;AR86)+COUNTIFS(AR$6:AR86,"="&amp;AR86)))</f>
        <v/>
      </c>
      <c r="AN86" s="134" t="str">
        <f>IFERROR(IF(OR(AD86=0,AD86=""),"",IF(COUNTIFS($AS$6:$AS$177,"&gt;"&amp;AS86)+COUNTIFS(AS$6:AS86,"="&amp;AS86)=0,"",COUNTIFS($AS$6:$AS$177,"&gt;"&amp;AS86)+COUNTIFS(AS$6:AS86,"="&amp;AS86)+$AM$5)),"")</f>
        <v/>
      </c>
      <c r="AO86" s="134" t="str">
        <f>IFERROR(IF(OR(AD86=0,AD86=""),"",IF(COUNTIFS($AT$6:$AT$177,"&gt;"&amp;AT86)+COUNTIFS(AT$6:AT86,"="&amp;AT86)=0,"",COUNTIFS($AT$6:$AT$177,"&gt;"&amp;AT86)+COUNTIFS(AT$6:AT86,"="&amp;AT86)+$AN$5)),"")</f>
        <v/>
      </c>
      <c r="AP86" s="134">
        <f>IFERROR(IF(OR(AD86=0,AD86=""),"",IF(COUNTIFS($AU$6:$AU$177,"&gt;"&amp;AU86)+COUNTIFS(AU$6:AU86,"="&amp;AU86)=0,"",COUNTIFS($AU$6:$AU$177,"&gt;"&amp;AU86)+COUNTIFS(AU$6:AU86,"="&amp;AU86)+$AO$5)),"")</f>
        <v>38</v>
      </c>
      <c r="AQ86" s="134" t="str">
        <f>IFERROR(IF(OR(AD86=0,AD86=""),"",IF(COUNTIFS($AV$6:$AV$177,"&gt;"&amp;AV86)+COUNTIFS(AV$6:AV86,"="&amp;AV86)=0,"",COUNTIFS($AV$6:$AV$177,"&gt;"&amp;AV86)+COUNTIFS(AV$6:AV86,"="&amp;AV86)+$AP$5)),"")</f>
        <v/>
      </c>
      <c r="AR86" s="78" t="str">
        <f t="shared" si="38"/>
        <v/>
      </c>
      <c r="AS86" s="78" t="str">
        <f t="shared" si="39"/>
        <v/>
      </c>
      <c r="AT86" s="78" t="str">
        <f t="shared" si="40"/>
        <v/>
      </c>
      <c r="AU86" s="78">
        <f t="shared" si="41"/>
        <v>0.97297297297297303</v>
      </c>
      <c r="AV86" s="78" t="str">
        <f t="shared" si="42"/>
        <v/>
      </c>
    </row>
    <row r="87" spans="1:48" ht="16.5" customHeight="1" x14ac:dyDescent="0.3">
      <c r="A87" t="str">
        <f>IF(AD87="","",COUNTIFS($H$6:$H$120,H87,$AF$6:$AF$120,"&gt;"&amp;AF87)+COUNTIFS(H87:$H$120,H87,AF87:$AF$120,AF87))</f>
        <v/>
      </c>
      <c r="C87" t="str">
        <f t="shared" si="36"/>
        <v/>
      </c>
      <c r="D87" t="str">
        <f>IF(AG87=0,"",IF(COUNTIFS($AG$6:$AG$177,"&gt;"&amp;AG87)+COUNTIFS(AG$6:AG87,"="&amp;AG87)=0,"",COUNTIFS($AG$6:$AG$177,"&gt;"&amp;AG87)+COUNTIFS(AG$6:AG87,"="&amp;AG87)))</f>
        <v/>
      </c>
      <c r="F87" s="17" t="s">
        <v>108</v>
      </c>
      <c r="G87" s="113">
        <f>IFERROR(IF(VLOOKUP(F87,Lookups!$A$2:$F$111,2,FALSE)="","",VLOOKUP(F87,Lookups!$A$2:$F$111,2,FALSE)),"")</f>
        <v>733</v>
      </c>
      <c r="H87" s="113" t="str">
        <f>IFERROR(IF(VLOOKUP(F87,Lookups!$A$2:$F$111,3,FALSE)="","",VLOOKUP(F87,Lookups!$A$2:$F$111,3,FALSE)),"")</f>
        <v>U/G</v>
      </c>
      <c r="I87" s="113" t="str">
        <f>IFERROR(IF(AF87=0,"",VLOOKUP(AF87,Lookups!$K$2:$L$6,2,TRUE)),"")</f>
        <v/>
      </c>
      <c r="J87" s="113" t="str">
        <f>IF(AD87&lt;Lookups!$I$5,"Y","N")</f>
        <v>N</v>
      </c>
      <c r="K87" s="113" t="str">
        <f>IFERROR(IF(VLOOKUP(F87,Lookups!$A$2:$F$111,4,FALSE)="","",VLOOKUP(F87,Lookups!$A$2:$F$111,4,FALSE)),"")</f>
        <v>PCP</v>
      </c>
      <c r="L87" s="113" t="str">
        <f>IFERROR(IF(VLOOKUP(F87,Lookups!$A$2:$F$111,5,FALSE)="","",VLOOKUP(F87,Lookups!$A$2:$F$111,5,FALSE)),"")</f>
        <v>Buccaneers</v>
      </c>
      <c r="M87" s="114" t="str">
        <f>IFERROR(IF(VLOOKUP(F87,Lookups!$A$2:$F$111,6,FALSE)="","",VLOOKUP(F87,Lookups!$A$2:$F$111,6,FALSE)),"")</f>
        <v/>
      </c>
      <c r="N87" s="57" t="str">
        <f>IFERROR(IF(VLOOKUP(F87,Scores!$A$1:$I$99,2,FALSE)="","",VLOOKUP(F87,Scores!$A$1:$I$99,2,FALSE)),"")</f>
        <v/>
      </c>
      <c r="O87" s="58" t="str">
        <f>IFERROR(IF(VLOOKUP(F87,Scores!$A$1:$I$99,3,FALSE)="","",VLOOKUP(F87,Scores!$A$1:$I$99,3,FALSE)),"")</f>
        <v/>
      </c>
      <c r="P87" s="58" t="str">
        <f>IFERROR(IF(VLOOKUP(F87,Scores!$A$1:$I$99,4,FALSE)="","",VLOOKUP(F87,Scores!$A$1:$I$99,4,FALSE)),"")</f>
        <v/>
      </c>
      <c r="Q87" s="58" t="str">
        <f>IFERROR(IF(VLOOKUP(F87,Scores!$A$1:$I$99,5,FALSE)="","",VLOOKUP(F87,Scores!$A$1:$I$99,5,FALSE)),"")</f>
        <v/>
      </c>
      <c r="R87" s="58" t="str">
        <f>IFERROR(IF(VLOOKUP(F87,Scores!$A$1:$I$99,6,FALSE)="","",VLOOKUP(F87,Scores!$A$1:$I$99,6,FALSE)),"")</f>
        <v/>
      </c>
      <c r="S87" s="58" t="str">
        <f>IFERROR(IF(VLOOKUP(F87,Scores!$A$1:$I$99,7,FALSE)="","",VLOOKUP(F87,Scores!$A$1:$I$99,7,FALSE)),"")</f>
        <v/>
      </c>
      <c r="T87" s="58" t="str">
        <f>IFERROR(IF(VLOOKUP(F87,Scores!$A$1:$I$99,8,FALSE)="","",VLOOKUP(F87,Scores!$A$1:$I$99,8,FALSE)),"")</f>
        <v/>
      </c>
      <c r="U87" s="60" t="str">
        <f>IFERROR(IF(VLOOKUP(F87,Scores!$A$1:$I$99,9,FALSE)="","",VLOOKUP(F87,Scores!$A$1:$I$99,9,FALSE)),"")</f>
        <v/>
      </c>
      <c r="V87" s="54" t="str">
        <f t="shared" si="43"/>
        <v/>
      </c>
      <c r="W87" s="55" t="str">
        <f t="shared" si="44"/>
        <v/>
      </c>
      <c r="X87" s="55" t="str">
        <f t="shared" si="45"/>
        <v/>
      </c>
      <c r="Y87" s="55" t="str">
        <f t="shared" si="46"/>
        <v/>
      </c>
      <c r="Z87" s="55" t="str">
        <f t="shared" si="47"/>
        <v/>
      </c>
      <c r="AA87" s="55" t="str">
        <f t="shared" si="48"/>
        <v/>
      </c>
      <c r="AB87" s="55" t="str">
        <f t="shared" si="49"/>
        <v/>
      </c>
      <c r="AC87" s="56" t="str">
        <f t="shared" si="50"/>
        <v/>
      </c>
      <c r="AD87" s="79" t="str">
        <f t="shared" si="51"/>
        <v/>
      </c>
      <c r="AE87" s="59" t="str">
        <f t="shared" si="52"/>
        <v/>
      </c>
      <c r="AF87" s="55" t="str" cm="1">
        <f t="array" ref="AF87">IFERROR(IF(AD87&gt;Lookups!$I$5-1,AVERAGE(LARGE(V87:AC87,_xlfn.SEQUENCE(Lookups!$I$5))),AVERAGE(LARGE(V87:AC87,_xlfn.SEQUENCE(AD87)))),"")</f>
        <v/>
      </c>
      <c r="AG87" s="124" t="str">
        <f t="shared" si="53"/>
        <v/>
      </c>
      <c r="AH87" s="78" t="str">
        <f>IF(AD87=Lookups!$I$5+1,LARGE(V87:AC87,5),"")</f>
        <v/>
      </c>
      <c r="AI87" s="78" t="str">
        <f>IF(AD87=Lookups!$I$5+2,LARGE(V87:AC87,6),"")</f>
        <v/>
      </c>
      <c r="AJ87" s="78"/>
      <c r="AK87" s="78"/>
      <c r="AL87" s="140" t="str">
        <f t="shared" si="37"/>
        <v/>
      </c>
      <c r="AM87" s="134" t="str">
        <f>IF(OR(AD87=0,AD87=""),"",IF(COUNTIFS($AR$6:$AR$177,"&gt;"&amp;AR87)+COUNTIFS(AR$6:AR87,"="&amp;AR87)=0,"",COUNTIFS($AR$6:$AR$177,"&gt;"&amp;AR87)+COUNTIFS(AR$6:AR87,"="&amp;AR87)))</f>
        <v/>
      </c>
      <c r="AN87" s="134" t="str">
        <f>IFERROR(IF(OR(AD87=0,AD87=""),"",IF(COUNTIFS($AS$6:$AS$177,"&gt;"&amp;AS87)+COUNTIFS(AS$6:AS87,"="&amp;AS87)=0,"",COUNTIFS($AS$6:$AS$177,"&gt;"&amp;AS87)+COUNTIFS(AS$6:AS87,"="&amp;AS87)+$AM$5)),"")</f>
        <v/>
      </c>
      <c r="AO87" s="134" t="str">
        <f>IFERROR(IF(OR(AD87=0,AD87=""),"",IF(COUNTIFS($AT$6:$AT$177,"&gt;"&amp;AT87)+COUNTIFS(AT$6:AT87,"="&amp;AT87)=0,"",COUNTIFS($AT$6:$AT$177,"&gt;"&amp;AT87)+COUNTIFS(AT$6:AT87,"="&amp;AT87)+$AN$5)),"")</f>
        <v/>
      </c>
      <c r="AP87" s="134" t="str">
        <f>IFERROR(IF(OR(AD87=0,AD87=""),"",IF(COUNTIFS($AU$6:$AU$177,"&gt;"&amp;AU87)+COUNTIFS(AU$6:AU87,"="&amp;AU87)=0,"",COUNTIFS($AU$6:$AU$177,"&gt;"&amp;AU87)+COUNTIFS(AU$6:AU87,"="&amp;AU87)+$AO$5)),"")</f>
        <v/>
      </c>
      <c r="AQ87" s="134" t="str">
        <f>IFERROR(IF(OR(AD87=0,AD87=""),"",IF(COUNTIFS($AV$6:$AV$177,"&gt;"&amp;AV87)+COUNTIFS(AV$6:AV87,"="&amp;AV87)=0,"",COUNTIFS($AV$6:$AV$177,"&gt;"&amp;AV87)+COUNTIFS(AV$6:AV87,"="&amp;AV87)+$AP$5)),"")</f>
        <v/>
      </c>
      <c r="AR87" s="78" t="str">
        <f t="shared" si="38"/>
        <v/>
      </c>
      <c r="AS87" s="78" t="str">
        <f t="shared" si="39"/>
        <v/>
      </c>
      <c r="AT87" s="78" t="str">
        <f t="shared" si="40"/>
        <v/>
      </c>
      <c r="AU87" s="78" t="str">
        <f t="shared" si="41"/>
        <v/>
      </c>
      <c r="AV87" s="78" t="str">
        <f t="shared" si="42"/>
        <v/>
      </c>
    </row>
    <row r="88" spans="1:48" ht="16.5" customHeight="1" x14ac:dyDescent="0.3">
      <c r="A88" t="str">
        <f>IF(AD88="","",COUNTIFS($H$6:$H$120,H88,$AF$6:$AF$120,"&gt;"&amp;AF88)+COUNTIFS(H88:$H$120,H88,AF88:$AF$120,AF88))</f>
        <v/>
      </c>
      <c r="C88" t="str">
        <f t="shared" si="36"/>
        <v/>
      </c>
      <c r="D88" t="str">
        <f>IF(AG88=0,"",IF(COUNTIFS($AG$6:$AG$177,"&gt;"&amp;AG88)+COUNTIFS(AG$6:AG88,"="&amp;AG88)=0,"",COUNTIFS($AG$6:$AG$177,"&gt;"&amp;AG88)+COUNTIFS(AG$6:AG88,"="&amp;AG88)))</f>
        <v/>
      </c>
      <c r="F88" s="22" t="s">
        <v>70</v>
      </c>
      <c r="G88" s="113">
        <f>IFERROR(IF(VLOOKUP(F88,Lookups!$A$2:$F$111,2,FALSE)="","",VLOOKUP(F88,Lookups!$A$2:$F$111,2,FALSE)),"")</f>
        <v>1889</v>
      </c>
      <c r="H88" s="113" t="str">
        <f>IFERROR(IF(VLOOKUP(F88,Lookups!$A$2:$F$111,3,FALSE)="","",VLOOKUP(F88,Lookups!$A$2:$F$111,3,FALSE)),"")</f>
        <v>U/G</v>
      </c>
      <c r="I88" s="113" t="str">
        <f>IFERROR(IF(AF88=0,"",VLOOKUP(AF88,Lookups!$K$2:$L$6,2,TRUE)),"")</f>
        <v/>
      </c>
      <c r="J88" s="113" t="str">
        <f>IF(AD88&lt;Lookups!$I$5,"Y","N")</f>
        <v>N</v>
      </c>
      <c r="K88" s="113" t="str">
        <f>IFERROR(IF(VLOOKUP(F88,Lookups!$A$2:$F$111,4,FALSE)="","",VLOOKUP(F88,Lookups!$A$2:$F$111,4,FALSE)),"")</f>
        <v>PCP</v>
      </c>
      <c r="L88" s="113" t="str">
        <f>IFERROR(IF(VLOOKUP(F88,Lookups!$A$2:$F$111,5,FALSE)="","",VLOOKUP(F88,Lookups!$A$2:$F$111,5,FALSE)),"")</f>
        <v>Bisley</v>
      </c>
      <c r="M88" s="114" t="str">
        <f>IFERROR(IF(VLOOKUP(F88,Lookups!$A$2:$F$111,6,FALSE)="","",VLOOKUP(F88,Lookups!$A$2:$F$111,6,FALSE)),"")</f>
        <v/>
      </c>
      <c r="N88" s="57" t="str">
        <f>IFERROR(IF(VLOOKUP(F88,Scores!$A$1:$I$99,2,FALSE)="","",VLOOKUP(F88,Scores!$A$1:$I$99,2,FALSE)),"")</f>
        <v/>
      </c>
      <c r="O88" s="58" t="str">
        <f>IFERROR(IF(VLOOKUP(F88,Scores!$A$1:$I$99,3,FALSE)="","",VLOOKUP(F88,Scores!$A$1:$I$99,3,FALSE)),"")</f>
        <v/>
      </c>
      <c r="P88" s="58" t="str">
        <f>IFERROR(IF(VLOOKUP(F88,Scores!$A$1:$I$99,4,FALSE)="","",VLOOKUP(F88,Scores!$A$1:$I$99,4,FALSE)),"")</f>
        <v/>
      </c>
      <c r="Q88" s="58" t="str">
        <f>IFERROR(IF(VLOOKUP(F88,Scores!$A$1:$I$99,5,FALSE)="","",VLOOKUP(F88,Scores!$A$1:$I$99,5,FALSE)),"")</f>
        <v/>
      </c>
      <c r="R88" s="58" t="str">
        <f>IFERROR(IF(VLOOKUP(F88,Scores!$A$1:$I$99,6,FALSE)="","",VLOOKUP(F88,Scores!$A$1:$I$99,6,FALSE)),"")</f>
        <v/>
      </c>
      <c r="S88" s="58" t="str">
        <f>IFERROR(IF(VLOOKUP(F88,Scores!$A$1:$I$99,7,FALSE)="","",VLOOKUP(F88,Scores!$A$1:$I$99,7,FALSE)),"")</f>
        <v/>
      </c>
      <c r="T88" s="58" t="str">
        <f>IFERROR(IF(VLOOKUP(F88,Scores!$A$1:$I$99,8,FALSE)="","",VLOOKUP(F88,Scores!$A$1:$I$99,8,FALSE)),"")</f>
        <v/>
      </c>
      <c r="U88" s="60" t="str">
        <f>IFERROR(IF(VLOOKUP(F88,Scores!$A$1:$I$99,9,FALSE)="","",VLOOKUP(F88,Scores!$A$1:$I$99,9,FALSE)),"")</f>
        <v/>
      </c>
      <c r="V88" s="54" t="str">
        <f t="shared" si="43"/>
        <v/>
      </c>
      <c r="W88" s="55" t="str">
        <f t="shared" si="44"/>
        <v/>
      </c>
      <c r="X88" s="55" t="str">
        <f t="shared" si="45"/>
        <v/>
      </c>
      <c r="Y88" s="55" t="str">
        <f t="shared" si="46"/>
        <v/>
      </c>
      <c r="Z88" s="55" t="str">
        <f t="shared" si="47"/>
        <v/>
      </c>
      <c r="AA88" s="55" t="str">
        <f t="shared" si="48"/>
        <v/>
      </c>
      <c r="AB88" s="55" t="str">
        <f t="shared" si="49"/>
        <v/>
      </c>
      <c r="AC88" s="56" t="str">
        <f t="shared" si="50"/>
        <v/>
      </c>
      <c r="AD88" s="79" t="str">
        <f t="shared" si="51"/>
        <v/>
      </c>
      <c r="AE88" s="59" t="str">
        <f t="shared" si="52"/>
        <v/>
      </c>
      <c r="AF88" s="55" t="str" cm="1">
        <f t="array" ref="AF88">IFERROR(IF(AD88&gt;Lookups!$I$5-1,AVERAGE(LARGE(V88:AC88,_xlfn.SEQUENCE(Lookups!$I$5))),AVERAGE(LARGE(V88:AC88,_xlfn.SEQUENCE(AD88)))),"")</f>
        <v/>
      </c>
      <c r="AG88" s="124" t="str">
        <f t="shared" si="53"/>
        <v/>
      </c>
      <c r="AH88" s="78" t="str">
        <f>IF(AD88=Lookups!$I$5+1,LARGE(V88:AC88,5),"")</f>
        <v/>
      </c>
      <c r="AI88" s="78" t="str">
        <f>IF(AD88=Lookups!$I$5+2,LARGE(V88:AC88,6),"")</f>
        <v/>
      </c>
      <c r="AJ88" s="78"/>
      <c r="AK88" s="78"/>
      <c r="AL88" s="140" t="str">
        <f t="shared" si="37"/>
        <v/>
      </c>
      <c r="AM88" s="134" t="str">
        <f>IF(OR(AD88=0,AD88=""),"",IF(COUNTIFS($AR$6:$AR$177,"&gt;"&amp;AR88)+COUNTIFS(AR$6:AR88,"="&amp;AR88)=0,"",COUNTIFS($AR$6:$AR$177,"&gt;"&amp;AR88)+COUNTIFS(AR$6:AR88,"="&amp;AR88)))</f>
        <v/>
      </c>
      <c r="AN88" s="134" t="str">
        <f>IFERROR(IF(OR(AD88=0,AD88=""),"",IF(COUNTIFS($AS$6:$AS$177,"&gt;"&amp;AS88)+COUNTIFS(AS$6:AS88,"="&amp;AS88)=0,"",COUNTIFS($AS$6:$AS$177,"&gt;"&amp;AS88)+COUNTIFS(AS$6:AS88,"="&amp;AS88)+$AM$5)),"")</f>
        <v/>
      </c>
      <c r="AO88" s="134" t="str">
        <f>IFERROR(IF(OR(AD88=0,AD88=""),"",IF(COUNTIFS($AT$6:$AT$177,"&gt;"&amp;AT88)+COUNTIFS(AT$6:AT88,"="&amp;AT88)=0,"",COUNTIFS($AT$6:$AT$177,"&gt;"&amp;AT88)+COUNTIFS(AT$6:AT88,"="&amp;AT88)+$AN$5)),"")</f>
        <v/>
      </c>
      <c r="AP88" s="134" t="str">
        <f>IFERROR(IF(OR(AD88=0,AD88=""),"",IF(COUNTIFS($AU$6:$AU$177,"&gt;"&amp;AU88)+COUNTIFS(AU$6:AU88,"="&amp;AU88)=0,"",COUNTIFS($AU$6:$AU$177,"&gt;"&amp;AU88)+COUNTIFS(AU$6:AU88,"="&amp;AU88)+$AO$5)),"")</f>
        <v/>
      </c>
      <c r="AQ88" s="134" t="str">
        <f>IFERROR(IF(OR(AD88=0,AD88=""),"",IF(COUNTIFS($AV$6:$AV$177,"&gt;"&amp;AV88)+COUNTIFS(AV$6:AV88,"="&amp;AV88)=0,"",COUNTIFS($AV$6:$AV$177,"&gt;"&amp;AV88)+COUNTIFS(AV$6:AV88,"="&amp;AV88)+$AP$5)),"")</f>
        <v/>
      </c>
      <c r="AR88" s="78" t="str">
        <f t="shared" si="38"/>
        <v/>
      </c>
      <c r="AS88" s="78" t="str">
        <f t="shared" si="39"/>
        <v/>
      </c>
      <c r="AT88" s="78" t="str">
        <f t="shared" si="40"/>
        <v/>
      </c>
      <c r="AU88" s="78" t="str">
        <f t="shared" si="41"/>
        <v/>
      </c>
      <c r="AV88" s="78" t="str">
        <f t="shared" si="42"/>
        <v/>
      </c>
    </row>
    <row r="89" spans="1:48" ht="16.5" customHeight="1" x14ac:dyDescent="0.3">
      <c r="A89" t="str">
        <f>IF(AD89="","",COUNTIFS($H$6:$H$120,H89,$AF$6:$AF$120,"&gt;"&amp;AF89)+COUNTIFS(H89:$H$120,H89,AF89:$AF$120,AF89))</f>
        <v/>
      </c>
      <c r="C89" t="str">
        <f t="shared" si="36"/>
        <v/>
      </c>
      <c r="D89" t="str">
        <f>IF(AG89=0,"",IF(COUNTIFS($AG$6:$AG$177,"&gt;"&amp;AG89)+COUNTIFS(AG$6:AG89,"="&amp;AG89)=0,"",COUNTIFS($AG$6:$AG$177,"&gt;"&amp;AG89)+COUNTIFS(AG$6:AG89,"="&amp;AG89)))</f>
        <v/>
      </c>
      <c r="F89" s="22" t="s">
        <v>73</v>
      </c>
      <c r="G89" s="113">
        <f>IFERROR(IF(VLOOKUP(F89,Lookups!$A$2:$F$111,2,FALSE)="","",VLOOKUP(F89,Lookups!$A$2:$F$111,2,FALSE)),"")</f>
        <v>1901</v>
      </c>
      <c r="H89" s="113" t="str">
        <f>IFERROR(IF(VLOOKUP(F89,Lookups!$A$2:$F$111,3,FALSE)="","",VLOOKUP(F89,Lookups!$A$2:$F$111,3,FALSE)),"")</f>
        <v>U/G</v>
      </c>
      <c r="I89" s="113" t="str">
        <f>IFERROR(IF(AF89=0,"",VLOOKUP(AF89,Lookups!$K$2:$L$6,2,TRUE)),"")</f>
        <v/>
      </c>
      <c r="J89" s="113" t="str">
        <f>IF(AD89&lt;Lookups!$I$5,"Y","N")</f>
        <v>N</v>
      </c>
      <c r="K89" s="113" t="str">
        <f>IFERROR(IF(VLOOKUP(F89,Lookups!$A$2:$F$111,4,FALSE)="","",VLOOKUP(F89,Lookups!$A$2:$F$111,4,FALSE)),"")</f>
        <v>PCP</v>
      </c>
      <c r="L89" s="113" t="str">
        <f>IFERROR(IF(VLOOKUP(F89,Lookups!$A$2:$F$111,5,FALSE)="","",VLOOKUP(F89,Lookups!$A$2:$F$111,5,FALSE)),"")</f>
        <v>Bisley</v>
      </c>
      <c r="M89" s="114" t="str">
        <f>IFERROR(IF(VLOOKUP(F89,Lookups!$A$2:$F$111,6,FALSE)="","",VLOOKUP(F89,Lookups!$A$2:$F$111,6,FALSE)),"")</f>
        <v/>
      </c>
      <c r="N89" s="57" t="str">
        <f>IFERROR(IF(VLOOKUP(F89,Scores!$A$1:$I$99,2,FALSE)="","",VLOOKUP(F89,Scores!$A$1:$I$99,2,FALSE)),"")</f>
        <v/>
      </c>
      <c r="O89" s="58" t="str">
        <f>IFERROR(IF(VLOOKUP(F89,Scores!$A$1:$I$99,3,FALSE)="","",VLOOKUP(F89,Scores!$A$1:$I$99,3,FALSE)),"")</f>
        <v/>
      </c>
      <c r="P89" s="58" t="str">
        <f>IFERROR(IF(VLOOKUP(F89,Scores!$A$1:$I$99,4,FALSE)="","",VLOOKUP(F89,Scores!$A$1:$I$99,4,FALSE)),"")</f>
        <v/>
      </c>
      <c r="Q89" s="58" t="str">
        <f>IFERROR(IF(VLOOKUP(F89,Scores!$A$1:$I$99,5,FALSE)="","",VLOOKUP(F89,Scores!$A$1:$I$99,5,FALSE)),"")</f>
        <v/>
      </c>
      <c r="R89" s="58" t="str">
        <f>IFERROR(IF(VLOOKUP(F89,Scores!$A$1:$I$99,6,FALSE)="","",VLOOKUP(F89,Scores!$A$1:$I$99,6,FALSE)),"")</f>
        <v/>
      </c>
      <c r="S89" s="58" t="str">
        <f>IFERROR(IF(VLOOKUP(F89,Scores!$A$1:$I$99,7,FALSE)="","",VLOOKUP(F89,Scores!$A$1:$I$99,7,FALSE)),"")</f>
        <v/>
      </c>
      <c r="T89" s="58" t="str">
        <f>IFERROR(IF(VLOOKUP(F89,Scores!$A$1:$I$99,8,FALSE)="","",VLOOKUP(F89,Scores!$A$1:$I$99,8,FALSE)),"")</f>
        <v/>
      </c>
      <c r="U89" s="60" t="str">
        <f>IFERROR(IF(VLOOKUP(F89,Scores!$A$1:$I$99,9,FALSE)="","",VLOOKUP(F89,Scores!$A$1:$I$99,9,FALSE)),"")</f>
        <v/>
      </c>
      <c r="V89" s="54" t="str">
        <f t="shared" si="43"/>
        <v/>
      </c>
      <c r="W89" s="55" t="str">
        <f t="shared" si="44"/>
        <v/>
      </c>
      <c r="X89" s="55" t="str">
        <f t="shared" si="45"/>
        <v/>
      </c>
      <c r="Y89" s="55" t="str">
        <f t="shared" si="46"/>
        <v/>
      </c>
      <c r="Z89" s="55" t="str">
        <f t="shared" si="47"/>
        <v/>
      </c>
      <c r="AA89" s="55" t="str">
        <f t="shared" si="48"/>
        <v/>
      </c>
      <c r="AB89" s="55" t="str">
        <f t="shared" si="49"/>
        <v/>
      </c>
      <c r="AC89" s="56" t="str">
        <f t="shared" si="50"/>
        <v/>
      </c>
      <c r="AD89" s="79" t="str">
        <f t="shared" si="51"/>
        <v/>
      </c>
      <c r="AE89" s="59" t="str">
        <f t="shared" si="52"/>
        <v/>
      </c>
      <c r="AF89" s="55" t="str" cm="1">
        <f t="array" ref="AF89">IFERROR(IF(AD89&gt;Lookups!$I$5-1,AVERAGE(LARGE(V89:AC89,_xlfn.SEQUENCE(Lookups!$I$5))),AVERAGE(LARGE(V89:AC89,_xlfn.SEQUENCE(AD89)))),"")</f>
        <v/>
      </c>
      <c r="AG89" s="124" t="str">
        <f t="shared" si="53"/>
        <v/>
      </c>
      <c r="AH89" s="78" t="str">
        <f>IF(AD89=Lookups!$I$5+1,LARGE(V89:AC89,5),"")</f>
        <v/>
      </c>
      <c r="AI89" s="78" t="str">
        <f>IF(AD89=Lookups!$I$5+2,LARGE(V89:AC89,6),"")</f>
        <v/>
      </c>
      <c r="AJ89" s="78"/>
      <c r="AK89" s="78"/>
      <c r="AL89" s="140" t="str">
        <f t="shared" si="37"/>
        <v/>
      </c>
      <c r="AM89" s="134" t="str">
        <f>IF(OR(AD89=0,AD89=""),"",IF(COUNTIFS($AR$6:$AR$177,"&gt;"&amp;AR89)+COUNTIFS(AR$6:AR89,"="&amp;AR89)=0,"",COUNTIFS($AR$6:$AR$177,"&gt;"&amp;AR89)+COUNTIFS(AR$6:AR89,"="&amp;AR89)))</f>
        <v/>
      </c>
      <c r="AN89" s="134" t="str">
        <f>IFERROR(IF(OR(AD89=0,AD89=""),"",IF(COUNTIFS($AS$6:$AS$177,"&gt;"&amp;AS89)+COUNTIFS(AS$6:AS89,"="&amp;AS89)=0,"",COUNTIFS($AS$6:$AS$177,"&gt;"&amp;AS89)+COUNTIFS(AS$6:AS89,"="&amp;AS89)+$AM$5)),"")</f>
        <v/>
      </c>
      <c r="AO89" s="134" t="str">
        <f>IFERROR(IF(OR(AD89=0,AD89=""),"",IF(COUNTIFS($AT$6:$AT$177,"&gt;"&amp;AT89)+COUNTIFS(AT$6:AT89,"="&amp;AT89)=0,"",COUNTIFS($AT$6:$AT$177,"&gt;"&amp;AT89)+COUNTIFS(AT$6:AT89,"="&amp;AT89)+$AN$5)),"")</f>
        <v/>
      </c>
      <c r="AP89" s="134" t="str">
        <f>IFERROR(IF(OR(AD89=0,AD89=""),"",IF(COUNTIFS($AU$6:$AU$177,"&gt;"&amp;AU89)+COUNTIFS(AU$6:AU89,"="&amp;AU89)=0,"",COUNTIFS($AU$6:$AU$177,"&gt;"&amp;AU89)+COUNTIFS(AU$6:AU89,"="&amp;AU89)+$AO$5)),"")</f>
        <v/>
      </c>
      <c r="AQ89" s="134" t="str">
        <f>IFERROR(IF(OR(AD89=0,AD89=""),"",IF(COUNTIFS($AV$6:$AV$177,"&gt;"&amp;AV89)+COUNTIFS(AV$6:AV89,"="&amp;AV89)=0,"",COUNTIFS($AV$6:$AV$177,"&gt;"&amp;AV89)+COUNTIFS(AV$6:AV89,"="&amp;AV89)+$AP$5)),"")</f>
        <v/>
      </c>
      <c r="AR89" s="78" t="str">
        <f t="shared" si="38"/>
        <v/>
      </c>
      <c r="AS89" s="78" t="str">
        <f t="shared" si="39"/>
        <v/>
      </c>
      <c r="AT89" s="78" t="str">
        <f t="shared" si="40"/>
        <v/>
      </c>
      <c r="AU89" s="78" t="str">
        <f t="shared" si="41"/>
        <v/>
      </c>
      <c r="AV89" s="78" t="str">
        <f t="shared" si="42"/>
        <v/>
      </c>
    </row>
    <row r="90" spans="1:48" ht="16.5" customHeight="1" x14ac:dyDescent="0.3">
      <c r="A90" t="str">
        <f>IF(AD90="","",COUNTIFS($H$6:$H$120,H90,$AF$6:$AF$120,"&gt;"&amp;AF90)+COUNTIFS(H90:$H$120,H90,AF90:$AF$120,AF90))</f>
        <v/>
      </c>
      <c r="C90" t="str">
        <f t="shared" si="36"/>
        <v/>
      </c>
      <c r="D90" t="str">
        <f>IF(AG90=0,"",IF(COUNTIFS($AG$6:$AG$177,"&gt;"&amp;AG90)+COUNTIFS(AG$6:AG90,"="&amp;AG90)=0,"",COUNTIFS($AG$6:$AG$177,"&gt;"&amp;AG90)+COUNTIFS(AG$6:AG90,"="&amp;AG90)))</f>
        <v/>
      </c>
      <c r="F90" s="19" t="s">
        <v>107</v>
      </c>
      <c r="G90" s="113">
        <f>IFERROR(IF(VLOOKUP(F90,Lookups!$A$2:$F$111,2,FALSE)="","",VLOOKUP(F90,Lookups!$A$2:$F$111,2,FALSE)),"")</f>
        <v>1903</v>
      </c>
      <c r="H90" s="113" t="str">
        <f>IFERROR(IF(VLOOKUP(F90,Lookups!$A$2:$F$111,3,FALSE)="","",VLOOKUP(F90,Lookups!$A$2:$F$111,3,FALSE)),"")</f>
        <v>U/G</v>
      </c>
      <c r="I90" s="113" t="str">
        <f>IFERROR(IF(AF90=0,"",VLOOKUP(AF90,Lookups!$K$2:$L$6,2,TRUE)),"")</f>
        <v/>
      </c>
      <c r="J90" s="113" t="str">
        <f>IF(AD90&lt;Lookups!$I$5,"Y","N")</f>
        <v>N</v>
      </c>
      <c r="K90" s="113" t="str">
        <f>IFERROR(IF(VLOOKUP(F90,Lookups!$A$2:$F$111,4,FALSE)="","",VLOOKUP(F90,Lookups!$A$2:$F$111,4,FALSE)),"")</f>
        <v>PCP</v>
      </c>
      <c r="L90" s="113" t="str">
        <f>IFERROR(IF(VLOOKUP(F90,Lookups!$A$2:$F$111,5,FALSE)="","",VLOOKUP(F90,Lookups!$A$2:$F$111,5,FALSE)),"")</f>
        <v>Newbury</v>
      </c>
      <c r="M90" s="114" t="str">
        <f>IFERROR(IF(VLOOKUP(F90,Lookups!$A$2:$F$111,6,FALSE)="","",VLOOKUP(F90,Lookups!$A$2:$F$111,6,FALSE)),"")</f>
        <v/>
      </c>
      <c r="N90" s="57" t="str">
        <f>IFERROR(IF(VLOOKUP(F90,Scores!$A$1:$I$99,2,FALSE)="","",VLOOKUP(F90,Scores!$A$1:$I$99,2,FALSE)),"")</f>
        <v/>
      </c>
      <c r="O90" s="58" t="str">
        <f>IFERROR(IF(VLOOKUP(F90,Scores!$A$1:$I$99,3,FALSE)="","",VLOOKUP(F90,Scores!$A$1:$I$99,3,FALSE)),"")</f>
        <v/>
      </c>
      <c r="P90" s="58" t="str">
        <f>IFERROR(IF(VLOOKUP(F90,Scores!$A$1:$I$99,4,FALSE)="","",VLOOKUP(F90,Scores!$A$1:$I$99,4,FALSE)),"")</f>
        <v/>
      </c>
      <c r="Q90" s="58" t="str">
        <f>IFERROR(IF(VLOOKUP(F90,Scores!$A$1:$I$99,5,FALSE)="","",VLOOKUP(F90,Scores!$A$1:$I$99,5,FALSE)),"")</f>
        <v/>
      </c>
      <c r="R90" s="58" t="str">
        <f>IFERROR(IF(VLOOKUP(F90,Scores!$A$1:$I$99,6,FALSE)="","",VLOOKUP(F90,Scores!$A$1:$I$99,6,FALSE)),"")</f>
        <v/>
      </c>
      <c r="S90" s="58" t="str">
        <f>IFERROR(IF(VLOOKUP(F90,Scores!$A$1:$I$99,7,FALSE)="","",VLOOKUP(F90,Scores!$A$1:$I$99,7,FALSE)),"")</f>
        <v/>
      </c>
      <c r="T90" s="58" t="str">
        <f>IFERROR(IF(VLOOKUP(F90,Scores!$A$1:$I$99,8,FALSE)="","",VLOOKUP(F90,Scores!$A$1:$I$99,8,FALSE)),"")</f>
        <v/>
      </c>
      <c r="U90" s="60" t="str">
        <f>IFERROR(IF(VLOOKUP(F90,Scores!$A$1:$I$99,9,FALSE)="","",VLOOKUP(F90,Scores!$A$1:$I$99,9,FALSE)),"")</f>
        <v/>
      </c>
      <c r="V90" s="54" t="str">
        <f t="shared" si="43"/>
        <v/>
      </c>
      <c r="W90" s="55" t="str">
        <f t="shared" si="44"/>
        <v/>
      </c>
      <c r="X90" s="55" t="str">
        <f t="shared" si="45"/>
        <v/>
      </c>
      <c r="Y90" s="55" t="str">
        <f t="shared" si="46"/>
        <v/>
      </c>
      <c r="Z90" s="55" t="str">
        <f t="shared" si="47"/>
        <v/>
      </c>
      <c r="AA90" s="55" t="str">
        <f t="shared" si="48"/>
        <v/>
      </c>
      <c r="AB90" s="55" t="str">
        <f t="shared" si="49"/>
        <v/>
      </c>
      <c r="AC90" s="56" t="str">
        <f t="shared" si="50"/>
        <v/>
      </c>
      <c r="AD90" s="79" t="str">
        <f t="shared" si="51"/>
        <v/>
      </c>
      <c r="AE90" s="59" t="str">
        <f t="shared" si="52"/>
        <v/>
      </c>
      <c r="AF90" s="55" t="str" cm="1">
        <f t="array" ref="AF90">IFERROR(IF(AD90&gt;Lookups!$I$5-1,AVERAGE(LARGE(V90:AC90,_xlfn.SEQUENCE(Lookups!$I$5))),AVERAGE(LARGE(V90:AC90,_xlfn.SEQUENCE(AD90)))),"")</f>
        <v/>
      </c>
      <c r="AG90" s="124" t="str">
        <f t="shared" si="53"/>
        <v/>
      </c>
      <c r="AH90" s="78" t="str">
        <f>IF(AD90=Lookups!$I$5+1,LARGE(V90:AC90,5),"")</f>
        <v/>
      </c>
      <c r="AI90" s="78" t="str">
        <f>IF(AD90=Lookups!$I$5+2,LARGE(V90:AC90,6),"")</f>
        <v/>
      </c>
      <c r="AJ90" s="78"/>
      <c r="AK90" s="78"/>
      <c r="AL90" s="140" t="str">
        <f t="shared" si="37"/>
        <v/>
      </c>
      <c r="AM90" s="134" t="str">
        <f>IF(OR(AD90=0,AD90=""),"",IF(COUNTIFS($AR$6:$AR$177,"&gt;"&amp;AR90)+COUNTIFS(AR$6:AR90,"="&amp;AR90)=0,"",COUNTIFS($AR$6:$AR$177,"&gt;"&amp;AR90)+COUNTIFS(AR$6:AR90,"="&amp;AR90)))</f>
        <v/>
      </c>
      <c r="AN90" s="134" t="str">
        <f>IFERROR(IF(OR(AD90=0,AD90=""),"",IF(COUNTIFS($AS$6:$AS$177,"&gt;"&amp;AS90)+COUNTIFS(AS$6:AS90,"="&amp;AS90)=0,"",COUNTIFS($AS$6:$AS$177,"&gt;"&amp;AS90)+COUNTIFS(AS$6:AS90,"="&amp;AS90)+$AM$5)),"")</f>
        <v/>
      </c>
      <c r="AO90" s="134" t="str">
        <f>IFERROR(IF(OR(AD90=0,AD90=""),"",IF(COUNTIFS($AT$6:$AT$177,"&gt;"&amp;AT90)+COUNTIFS(AT$6:AT90,"="&amp;AT90)=0,"",COUNTIFS($AT$6:$AT$177,"&gt;"&amp;AT90)+COUNTIFS(AT$6:AT90,"="&amp;AT90)+$AN$5)),"")</f>
        <v/>
      </c>
      <c r="AP90" s="134" t="str">
        <f>IFERROR(IF(OR(AD90=0,AD90=""),"",IF(COUNTIFS($AU$6:$AU$177,"&gt;"&amp;AU90)+COUNTIFS(AU$6:AU90,"="&amp;AU90)=0,"",COUNTIFS($AU$6:$AU$177,"&gt;"&amp;AU90)+COUNTIFS(AU$6:AU90,"="&amp;AU90)+$AO$5)),"")</f>
        <v/>
      </c>
      <c r="AQ90" s="134" t="str">
        <f>IFERROR(IF(OR(AD90=0,AD90=""),"",IF(COUNTIFS($AV$6:$AV$177,"&gt;"&amp;AV90)+COUNTIFS(AV$6:AV90,"="&amp;AV90)=0,"",COUNTIFS($AV$6:$AV$177,"&gt;"&amp;AV90)+COUNTIFS(AV$6:AV90,"="&amp;AV90)+$AP$5)),"")</f>
        <v/>
      </c>
      <c r="AR90" s="78" t="str">
        <f t="shared" si="38"/>
        <v/>
      </c>
      <c r="AS90" s="78" t="str">
        <f t="shared" si="39"/>
        <v/>
      </c>
      <c r="AT90" s="78" t="str">
        <f t="shared" si="40"/>
        <v/>
      </c>
      <c r="AU90" s="78" t="str">
        <f t="shared" si="41"/>
        <v/>
      </c>
      <c r="AV90" s="78" t="str">
        <f t="shared" si="42"/>
        <v/>
      </c>
    </row>
    <row r="91" spans="1:48" ht="16.5" customHeight="1" x14ac:dyDescent="0.3">
      <c r="A91" t="str">
        <f>IF(AD91="","",COUNTIFS($H$6:$H$120,H91,$AF$6:$AF$120,"&gt;"&amp;AF91)+COUNTIFS(H91:$H$120,H91,AF91:$AF$120,AF91))</f>
        <v/>
      </c>
      <c r="C91" t="str">
        <f t="shared" si="36"/>
        <v/>
      </c>
      <c r="D91" t="str">
        <f>IF(AG91=0,"",IF(COUNTIFS($AG$6:$AG$177,"&gt;"&amp;AG91)+COUNTIFS(AG$6:AG91,"="&amp;AG91)=0,"",COUNTIFS($AG$6:$AG$177,"&gt;"&amp;AG91)+COUNTIFS(AG$6:AG91,"="&amp;AG91)))</f>
        <v/>
      </c>
      <c r="F91" s="22" t="s">
        <v>74</v>
      </c>
      <c r="G91" s="113">
        <f>IFERROR(IF(VLOOKUP(F91,Lookups!$A$2:$F$111,2,FALSE)="","",VLOOKUP(F91,Lookups!$A$2:$F$111,2,FALSE)),"")</f>
        <v>1906</v>
      </c>
      <c r="H91" s="113" t="str">
        <f>IFERROR(IF(VLOOKUP(F91,Lookups!$A$2:$F$111,3,FALSE)="","",VLOOKUP(F91,Lookups!$A$2:$F$111,3,FALSE)),"")</f>
        <v>U/G</v>
      </c>
      <c r="I91" s="113" t="str">
        <f>IFERROR(IF(AF91=0,"",VLOOKUP(AF91,Lookups!$K$2:$L$6,2,TRUE)),"")</f>
        <v/>
      </c>
      <c r="J91" s="113" t="str">
        <f>IF(AD91&lt;Lookups!$I$5,"Y","N")</f>
        <v>N</v>
      </c>
      <c r="K91" s="113" t="str">
        <f>IFERROR(IF(VLOOKUP(F91,Lookups!$A$2:$F$111,4,FALSE)="","",VLOOKUP(F91,Lookups!$A$2:$F$111,4,FALSE)),"")</f>
        <v>PCP</v>
      </c>
      <c r="L91" s="113" t="str">
        <f>IFERROR(IF(VLOOKUP(F91,Lookups!$A$2:$F$111,5,FALSE)="","",VLOOKUP(F91,Lookups!$A$2:$F$111,5,FALSE)),"")</f>
        <v>Weston Warrior</v>
      </c>
      <c r="M91" s="114" t="str">
        <f>IFERROR(IF(VLOOKUP(F91,Lookups!$A$2:$F$111,6,FALSE)="","",VLOOKUP(F91,Lookups!$A$2:$F$111,6,FALSE)),"")</f>
        <v>Weston Warriors</v>
      </c>
      <c r="N91" s="57" t="str">
        <f>IFERROR(IF(VLOOKUP(F91,Scores!$A$1:$I$99,2,FALSE)="","",VLOOKUP(F91,Scores!$A$1:$I$99,2,FALSE)),"")</f>
        <v/>
      </c>
      <c r="O91" s="58" t="str">
        <f>IFERROR(IF(VLOOKUP(F91,Scores!$A$1:$I$99,3,FALSE)="","",VLOOKUP(F91,Scores!$A$1:$I$99,3,FALSE)),"")</f>
        <v/>
      </c>
      <c r="P91" s="58" t="str">
        <f>IFERROR(IF(VLOOKUP(F91,Scores!$A$1:$I$99,4,FALSE)="","",VLOOKUP(F91,Scores!$A$1:$I$99,4,FALSE)),"")</f>
        <v/>
      </c>
      <c r="Q91" s="58" t="str">
        <f>IFERROR(IF(VLOOKUP(F91,Scores!$A$1:$I$99,5,FALSE)="","",VLOOKUP(F91,Scores!$A$1:$I$99,5,FALSE)),"")</f>
        <v/>
      </c>
      <c r="R91" s="58" t="str">
        <f>IFERROR(IF(VLOOKUP(F91,Scores!$A$1:$I$99,6,FALSE)="","",VLOOKUP(F91,Scores!$A$1:$I$99,6,FALSE)),"")</f>
        <v/>
      </c>
      <c r="S91" s="58" t="str">
        <f>IFERROR(IF(VLOOKUP(F91,Scores!$A$1:$I$99,7,FALSE)="","",VLOOKUP(F91,Scores!$A$1:$I$99,7,FALSE)),"")</f>
        <v/>
      </c>
      <c r="T91" s="58" t="str">
        <f>IFERROR(IF(VLOOKUP(F91,Scores!$A$1:$I$99,8,FALSE)="","",VLOOKUP(F91,Scores!$A$1:$I$99,8,FALSE)),"")</f>
        <v/>
      </c>
      <c r="U91" s="60" t="str">
        <f>IFERROR(IF(VLOOKUP(F91,Scores!$A$1:$I$99,9,FALSE)="","",VLOOKUP(F91,Scores!$A$1:$I$99,9,FALSE)),"")</f>
        <v/>
      </c>
      <c r="V91" s="54" t="str">
        <f t="shared" si="43"/>
        <v/>
      </c>
      <c r="W91" s="55" t="str">
        <f t="shared" si="44"/>
        <v/>
      </c>
      <c r="X91" s="55" t="str">
        <f t="shared" si="45"/>
        <v/>
      </c>
      <c r="Y91" s="55" t="str">
        <f t="shared" si="46"/>
        <v/>
      </c>
      <c r="Z91" s="55" t="str">
        <f t="shared" si="47"/>
        <v/>
      </c>
      <c r="AA91" s="55" t="str">
        <f t="shared" si="48"/>
        <v/>
      </c>
      <c r="AB91" s="55" t="str">
        <f t="shared" si="49"/>
        <v/>
      </c>
      <c r="AC91" s="56" t="str">
        <f t="shared" si="50"/>
        <v/>
      </c>
      <c r="AD91" s="79" t="str">
        <f t="shared" si="51"/>
        <v/>
      </c>
      <c r="AE91" s="59" t="str">
        <f t="shared" si="52"/>
        <v/>
      </c>
      <c r="AF91" s="55" t="str" cm="1">
        <f t="array" ref="AF91">IFERROR(IF(AD91&gt;Lookups!$I$5-1,AVERAGE(LARGE(V91:AC91,_xlfn.SEQUENCE(Lookups!$I$5))),AVERAGE(LARGE(V91:AC91,_xlfn.SEQUENCE(AD91)))),"")</f>
        <v/>
      </c>
      <c r="AG91" s="124" t="str">
        <f t="shared" si="53"/>
        <v/>
      </c>
      <c r="AH91" s="78" t="str">
        <f>IF(AD91=Lookups!$I$5+1,LARGE(V91:AC91,5),"")</f>
        <v/>
      </c>
      <c r="AI91" s="78" t="str">
        <f>IF(AD91=Lookups!$I$5+2,LARGE(V91:AC91,6),"")</f>
        <v/>
      </c>
      <c r="AJ91" s="78"/>
      <c r="AK91" s="78"/>
      <c r="AL91" s="140" t="str">
        <f t="shared" si="37"/>
        <v/>
      </c>
      <c r="AM91" s="134" t="str">
        <f>IF(OR(AD91=0,AD91=""),"",IF(COUNTIFS($AR$6:$AR$177,"&gt;"&amp;AR91)+COUNTIFS(AR$6:AR91,"="&amp;AR91)=0,"",COUNTIFS($AR$6:$AR$177,"&gt;"&amp;AR91)+COUNTIFS(AR$6:AR91,"="&amp;AR91)))</f>
        <v/>
      </c>
      <c r="AN91" s="134" t="str">
        <f>IFERROR(IF(OR(AD91=0,AD91=""),"",IF(COUNTIFS($AS$6:$AS$177,"&gt;"&amp;AS91)+COUNTIFS(AS$6:AS91,"="&amp;AS91)=0,"",COUNTIFS($AS$6:$AS$177,"&gt;"&amp;AS91)+COUNTIFS(AS$6:AS91,"="&amp;AS91)+$AM$5)),"")</f>
        <v/>
      </c>
      <c r="AO91" s="134" t="str">
        <f>IFERROR(IF(OR(AD91=0,AD91=""),"",IF(COUNTIFS($AT$6:$AT$177,"&gt;"&amp;AT91)+COUNTIFS(AT$6:AT91,"="&amp;AT91)=0,"",COUNTIFS($AT$6:$AT$177,"&gt;"&amp;AT91)+COUNTIFS(AT$6:AT91,"="&amp;AT91)+$AN$5)),"")</f>
        <v/>
      </c>
      <c r="AP91" s="134" t="str">
        <f>IFERROR(IF(OR(AD91=0,AD91=""),"",IF(COUNTIFS($AU$6:$AU$177,"&gt;"&amp;AU91)+COUNTIFS(AU$6:AU91,"="&amp;AU91)=0,"",COUNTIFS($AU$6:$AU$177,"&gt;"&amp;AU91)+COUNTIFS(AU$6:AU91,"="&amp;AU91)+$AO$5)),"")</f>
        <v/>
      </c>
      <c r="AQ91" s="134" t="str">
        <f>IFERROR(IF(OR(AD91=0,AD91=""),"",IF(COUNTIFS($AV$6:$AV$177,"&gt;"&amp;AV91)+COUNTIFS(AV$6:AV91,"="&amp;AV91)=0,"",COUNTIFS($AV$6:$AV$177,"&gt;"&amp;AV91)+COUNTIFS(AV$6:AV91,"="&amp;AV91)+$AP$5)),"")</f>
        <v/>
      </c>
      <c r="AR91" s="78" t="str">
        <f t="shared" si="38"/>
        <v/>
      </c>
      <c r="AS91" s="78" t="str">
        <f t="shared" si="39"/>
        <v/>
      </c>
      <c r="AT91" s="78" t="str">
        <f t="shared" si="40"/>
        <v/>
      </c>
      <c r="AU91" s="78" t="str">
        <f t="shared" si="41"/>
        <v/>
      </c>
      <c r="AV91" s="78" t="str">
        <f t="shared" si="42"/>
        <v/>
      </c>
    </row>
    <row r="92" spans="1:48" ht="16.5" customHeight="1" x14ac:dyDescent="0.3">
      <c r="A92" t="str">
        <f>IF(AD92="","",COUNTIFS($H$6:$H$120,H92,$AF$6:$AF$120,"&gt;"&amp;AF92)+COUNTIFS(H92:$H$120,H92,AF92:$AF$120,AF92))</f>
        <v/>
      </c>
      <c r="C92" t="str">
        <f t="shared" si="36"/>
        <v/>
      </c>
      <c r="D92" t="str">
        <f>IF(AG92=0,"",IF(COUNTIFS($AG$6:$AG$177,"&gt;"&amp;AG92)+COUNTIFS(AG$6:AG92,"="&amp;AG92)=0,"",COUNTIFS($AG$6:$AG$177,"&gt;"&amp;AG92)+COUNTIFS(AG$6:AG92,"="&amp;AG92)))</f>
        <v/>
      </c>
      <c r="F92" s="21" t="s">
        <v>175</v>
      </c>
      <c r="G92" s="113">
        <f>IFERROR(IF(VLOOKUP(F92,Lookups!$A$2:$F$111,2,FALSE)="","",VLOOKUP(F92,Lookups!$A$2:$F$111,2,FALSE)),"")</f>
        <v>1915</v>
      </c>
      <c r="H92" s="113" t="str">
        <f>IFERROR(IF(VLOOKUP(F92,Lookups!$A$2:$F$111,3,FALSE)="","",VLOOKUP(F92,Lookups!$A$2:$F$111,3,FALSE)),"")</f>
        <v>U/G</v>
      </c>
      <c r="I92" s="113" t="str">
        <f>IFERROR(IF(AF92=0,"",VLOOKUP(AF92,Lookups!$K$2:$L$6,2,TRUE)),"")</f>
        <v/>
      </c>
      <c r="J92" s="113" t="str">
        <f>IF(AD92&lt;Lookups!$I$5,"Y","N")</f>
        <v>N</v>
      </c>
      <c r="K92" s="113" t="str">
        <f>IFERROR(IF(VLOOKUP(F92,Lookups!$A$2:$F$111,4,FALSE)="","",VLOOKUP(F92,Lookups!$A$2:$F$111,4,FALSE)),"")</f>
        <v>PCP</v>
      </c>
      <c r="L92" s="113" t="str">
        <f>IFERROR(IF(VLOOKUP(F92,Lookups!$A$2:$F$111,5,FALSE)="","",VLOOKUP(F92,Lookups!$A$2:$F$111,5,FALSE)),"")</f>
        <v>Carisbrooke</v>
      </c>
      <c r="M92" s="114" t="str">
        <f>IFERROR(IF(VLOOKUP(F92,Lookups!$A$2:$F$111,6,FALSE)="","",VLOOKUP(F92,Lookups!$A$2:$F$111,6,FALSE)),"")</f>
        <v>Carisbrooke Raptors</v>
      </c>
      <c r="N92" s="57" t="str">
        <f>IFERROR(IF(VLOOKUP(F92,Scores!$A$1:$I$99,2,FALSE)="","",VLOOKUP(F92,Scores!$A$1:$I$99,2,FALSE)),"")</f>
        <v/>
      </c>
      <c r="O92" s="58" t="str">
        <f>IFERROR(IF(VLOOKUP(F92,Scores!$A$1:$I$99,3,FALSE)="","",VLOOKUP(F92,Scores!$A$1:$I$99,3,FALSE)),"")</f>
        <v/>
      </c>
      <c r="P92" s="58" t="str">
        <f>IFERROR(IF(VLOOKUP(F92,Scores!$A$1:$I$99,4,FALSE)="","",VLOOKUP(F92,Scores!$A$1:$I$99,4,FALSE)),"")</f>
        <v/>
      </c>
      <c r="Q92" s="58" t="str">
        <f>IFERROR(IF(VLOOKUP(F92,Scores!$A$1:$I$99,5,FALSE)="","",VLOOKUP(F92,Scores!$A$1:$I$99,5,FALSE)),"")</f>
        <v/>
      </c>
      <c r="R92" s="58" t="str">
        <f>IFERROR(IF(VLOOKUP(F92,Scores!$A$1:$I$99,6,FALSE)="","",VLOOKUP(F92,Scores!$A$1:$I$99,6,FALSE)),"")</f>
        <v/>
      </c>
      <c r="S92" s="58" t="str">
        <f>IFERROR(IF(VLOOKUP(F92,Scores!$A$1:$I$99,7,FALSE)="","",VLOOKUP(F92,Scores!$A$1:$I$99,7,FALSE)),"")</f>
        <v/>
      </c>
      <c r="T92" s="58" t="str">
        <f>IFERROR(IF(VLOOKUP(F92,Scores!$A$1:$I$99,8,FALSE)="","",VLOOKUP(F92,Scores!$A$1:$I$99,8,FALSE)),"")</f>
        <v/>
      </c>
      <c r="U92" s="60" t="str">
        <f>IFERROR(IF(VLOOKUP(F92,Scores!$A$1:$I$99,9,FALSE)="","",VLOOKUP(F92,Scores!$A$1:$I$99,9,FALSE)),"")</f>
        <v/>
      </c>
      <c r="V92" s="54" t="str">
        <f t="shared" si="43"/>
        <v/>
      </c>
      <c r="W92" s="55" t="str">
        <f t="shared" si="44"/>
        <v/>
      </c>
      <c r="X92" s="55" t="str">
        <f t="shared" si="45"/>
        <v/>
      </c>
      <c r="Y92" s="55" t="str">
        <f t="shared" si="46"/>
        <v/>
      </c>
      <c r="Z92" s="55" t="str">
        <f t="shared" si="47"/>
        <v/>
      </c>
      <c r="AA92" s="55" t="str">
        <f t="shared" si="48"/>
        <v/>
      </c>
      <c r="AB92" s="55" t="str">
        <f t="shared" si="49"/>
        <v/>
      </c>
      <c r="AC92" s="56" t="str">
        <f t="shared" si="50"/>
        <v/>
      </c>
      <c r="AD92" s="79" t="str">
        <f t="shared" si="51"/>
        <v/>
      </c>
      <c r="AE92" s="59" t="str">
        <f t="shared" si="52"/>
        <v/>
      </c>
      <c r="AF92" s="55" t="str" cm="1">
        <f t="array" ref="AF92">IFERROR(IF(AD92&gt;Lookups!$I$5-1,AVERAGE(LARGE(V92:AC92,_xlfn.SEQUENCE(Lookups!$I$5))),AVERAGE(LARGE(V92:AC92,_xlfn.SEQUENCE(AD92)))),"")</f>
        <v/>
      </c>
      <c r="AG92" s="124" t="str">
        <f t="shared" si="53"/>
        <v/>
      </c>
      <c r="AH92" s="78" t="str">
        <f>IF(AD92=Lookups!$I$5+1,LARGE(V92:AC92,5),"")</f>
        <v/>
      </c>
      <c r="AI92" s="78" t="str">
        <f>IF(AD92=Lookups!$I$5+2,LARGE(V92:AC92,6),"")</f>
        <v/>
      </c>
      <c r="AJ92" s="78"/>
      <c r="AK92" s="78"/>
      <c r="AL92" s="140" t="str">
        <f t="shared" si="37"/>
        <v/>
      </c>
      <c r="AM92" s="134" t="str">
        <f>IF(OR(AD92=0,AD92=""),"",IF(COUNTIFS($AR$6:$AR$177,"&gt;"&amp;AR92)+COUNTIFS(AR$6:AR92,"="&amp;AR92)=0,"",COUNTIFS($AR$6:$AR$177,"&gt;"&amp;AR92)+COUNTIFS(AR$6:AR92,"="&amp;AR92)))</f>
        <v/>
      </c>
      <c r="AN92" s="134" t="str">
        <f>IFERROR(IF(OR(AD92=0,AD92=""),"",IF(COUNTIFS($AS$6:$AS$177,"&gt;"&amp;AS92)+COUNTIFS(AS$6:AS92,"="&amp;AS92)=0,"",COUNTIFS($AS$6:$AS$177,"&gt;"&amp;AS92)+COUNTIFS(AS$6:AS92,"="&amp;AS92)+$AM$5)),"")</f>
        <v/>
      </c>
      <c r="AO92" s="134" t="str">
        <f>IFERROR(IF(OR(AD92=0,AD92=""),"",IF(COUNTIFS($AT$6:$AT$177,"&gt;"&amp;AT92)+COUNTIFS(AT$6:AT92,"="&amp;AT92)=0,"",COUNTIFS($AT$6:$AT$177,"&gt;"&amp;AT92)+COUNTIFS(AT$6:AT92,"="&amp;AT92)+$AN$5)),"")</f>
        <v/>
      </c>
      <c r="AP92" s="134" t="str">
        <f>IFERROR(IF(OR(AD92=0,AD92=""),"",IF(COUNTIFS($AU$6:$AU$177,"&gt;"&amp;AU92)+COUNTIFS(AU$6:AU92,"="&amp;AU92)=0,"",COUNTIFS($AU$6:$AU$177,"&gt;"&amp;AU92)+COUNTIFS(AU$6:AU92,"="&amp;AU92)+$AO$5)),"")</f>
        <v/>
      </c>
      <c r="AQ92" s="134" t="str">
        <f>IFERROR(IF(OR(AD92=0,AD92=""),"",IF(COUNTIFS($AV$6:$AV$177,"&gt;"&amp;AV92)+COUNTIFS(AV$6:AV92,"="&amp;AV92)=0,"",COUNTIFS($AV$6:$AV$177,"&gt;"&amp;AV92)+COUNTIFS(AV$6:AV92,"="&amp;AV92)+$AP$5)),"")</f>
        <v/>
      </c>
      <c r="AR92" s="78" t="str">
        <f t="shared" si="38"/>
        <v/>
      </c>
      <c r="AS92" s="78" t="str">
        <f t="shared" si="39"/>
        <v/>
      </c>
      <c r="AT92" s="78" t="str">
        <f t="shared" si="40"/>
        <v/>
      </c>
      <c r="AU92" s="78" t="str">
        <f t="shared" si="41"/>
        <v/>
      </c>
      <c r="AV92" s="78" t="str">
        <f t="shared" si="42"/>
        <v/>
      </c>
    </row>
    <row r="93" spans="1:48" ht="16.5" customHeight="1" x14ac:dyDescent="0.3">
      <c r="A93">
        <f>IF(AD93="","",COUNTIFS($H$6:$H$120,H93,$AF$6:$AF$120,"&gt;"&amp;AF93)+COUNTIFS(H93:$H$120,H93,AF93:$AF$120,AF93))</f>
        <v>6</v>
      </c>
      <c r="C93">
        <f t="shared" si="36"/>
        <v>37</v>
      </c>
      <c r="D93">
        <f>IF(AG93=0,"",IF(COUNTIFS($AG$6:$AG$177,"&gt;"&amp;AG93)+COUNTIFS(AG$6:AG93,"="&amp;AG93)=0,"",COUNTIFS($AG$6:$AG$177,"&gt;"&amp;AG93)+COUNTIFS(AG$6:AG93,"="&amp;AG93)))</f>
        <v>36</v>
      </c>
      <c r="F93" s="21" t="s">
        <v>64</v>
      </c>
      <c r="G93" s="113">
        <f>IFERROR(IF(VLOOKUP(F93,Lookups!$A$2:$F$111,2,FALSE)="","",VLOOKUP(F93,Lookups!$A$2:$F$111,2,FALSE)),"")</f>
        <v>1902</v>
      </c>
      <c r="H93" s="113" t="str">
        <f>IFERROR(IF(VLOOKUP(F93,Lookups!$A$2:$F$111,3,FALSE)="","",VLOOKUP(F93,Lookups!$A$2:$F$111,3,FALSE)),"")</f>
        <v>U/G</v>
      </c>
      <c r="I93" s="113" t="str">
        <f>IFERROR(IF(AF93=0,"",VLOOKUP(AF93,Lookups!$K$2:$L$6,2,TRUE)),"")</f>
        <v>B</v>
      </c>
      <c r="J93" s="113" t="str">
        <f>IF(AD93&lt;Lookups!$I$5,"Y","N")</f>
        <v>Y</v>
      </c>
      <c r="K93" s="113" t="str">
        <f>IFERROR(IF(VLOOKUP(F93,Lookups!$A$2:$F$111,4,FALSE)="","",VLOOKUP(F93,Lookups!$A$2:$F$111,4,FALSE)),"")</f>
        <v>PCP</v>
      </c>
      <c r="L93" s="113" t="str">
        <f>IFERROR(IF(VLOOKUP(F93,Lookups!$A$2:$F$111,5,FALSE)="","",VLOOKUP(F93,Lookups!$A$2:$F$111,5,FALSE)),"")</f>
        <v>Newbury</v>
      </c>
      <c r="M93" s="114" t="str">
        <f>IFERROR(IF(VLOOKUP(F93,Lookups!$A$2:$F$111,6,FALSE)="","",VLOOKUP(F93,Lookups!$A$2:$F$111,6,FALSE)),"")</f>
        <v/>
      </c>
      <c r="N93" s="57" t="str">
        <f>IFERROR(IF(VLOOKUP(F93,Scores!$A$1:$I$99,2,FALSE)="","",VLOOKUP(F93,Scores!$A$1:$I$99,2,FALSE)),"")</f>
        <v/>
      </c>
      <c r="O93" s="58" t="str">
        <f>IFERROR(IF(VLOOKUP(F93,Scores!$A$1:$I$99,3,FALSE)="","",VLOOKUP(F93,Scores!$A$1:$I$99,3,FALSE)),"")</f>
        <v/>
      </c>
      <c r="P93" s="58">
        <f>IFERROR(IF(VLOOKUP(F93,Scores!$A$1:$I$99,4,FALSE)="","",VLOOKUP(F93,Scores!$A$1:$I$99,4,FALSE)),"")</f>
        <v>21</v>
      </c>
      <c r="Q93" s="58" t="str">
        <f>IFERROR(IF(VLOOKUP(F93,Scores!$A$1:$I$99,5,FALSE)="","",VLOOKUP(F93,Scores!$A$1:$I$99,5,FALSE)),"")</f>
        <v/>
      </c>
      <c r="R93" s="58" t="str">
        <f>IFERROR(IF(VLOOKUP(F93,Scores!$A$1:$I$99,6,FALSE)="","",VLOOKUP(F93,Scores!$A$1:$I$99,6,FALSE)),"")</f>
        <v/>
      </c>
      <c r="S93" s="58">
        <f>IFERROR(IF(VLOOKUP(F93,Scores!$A$1:$I$99,7,FALSE)="","",VLOOKUP(F93,Scores!$A$1:$I$99,7,FALSE)),"")</f>
        <v>28</v>
      </c>
      <c r="T93" s="58" t="str">
        <f>IFERROR(IF(VLOOKUP(F93,Scores!$A$1:$I$99,8,FALSE)="","",VLOOKUP(F93,Scores!$A$1:$I$99,8,FALSE)),"")</f>
        <v/>
      </c>
      <c r="U93" s="60" t="str">
        <f>IFERROR(IF(VLOOKUP(F93,Scores!$A$1:$I$99,9,FALSE)="","",VLOOKUP(F93,Scores!$A$1:$I$99,9,FALSE)),"")</f>
        <v/>
      </c>
      <c r="V93" s="54" t="str">
        <f t="shared" si="43"/>
        <v/>
      </c>
      <c r="W93" s="55" t="str">
        <f t="shared" si="44"/>
        <v/>
      </c>
      <c r="X93" s="55">
        <f t="shared" si="45"/>
        <v>0.56756756756756754</v>
      </c>
      <c r="Y93" s="55" t="str">
        <f t="shared" si="46"/>
        <v/>
      </c>
      <c r="Z93" s="55" t="str">
        <f t="shared" si="47"/>
        <v/>
      </c>
      <c r="AA93" s="55">
        <f t="shared" si="48"/>
        <v>0.7567567567567568</v>
      </c>
      <c r="AB93" s="55" t="str">
        <f t="shared" si="49"/>
        <v/>
      </c>
      <c r="AC93" s="56" t="str">
        <f t="shared" si="50"/>
        <v/>
      </c>
      <c r="AD93" s="79">
        <f t="shared" si="51"/>
        <v>2</v>
      </c>
      <c r="AE93" s="59">
        <f t="shared" si="52"/>
        <v>0.66216216216216217</v>
      </c>
      <c r="AF93" s="55" cm="1">
        <f t="array" ref="AF93">IFERROR(IF(AD93&gt;Lookups!$I$5-1,AVERAGE(LARGE(V93:AC93,_xlfn.SEQUENCE(Lookups!$I$5))),AVERAGE(LARGE(V93:AC93,_xlfn.SEQUENCE(AD93)))),"")</f>
        <v>0.66216216216216217</v>
      </c>
      <c r="AG93" s="124">
        <f t="shared" si="53"/>
        <v>49</v>
      </c>
      <c r="AH93" s="78" t="str">
        <f>IF(AD93=Lookups!$I$5+1,LARGE(V93:AC93,5),"")</f>
        <v/>
      </c>
      <c r="AI93" s="78" t="str">
        <f>IF(AD93=Lookups!$I$5+2,LARGE(V93:AC93,6),"")</f>
        <v/>
      </c>
      <c r="AJ93" s="78"/>
      <c r="AK93" s="78"/>
      <c r="AL93" s="140">
        <f t="shared" si="37"/>
        <v>37</v>
      </c>
      <c r="AM93" s="134" t="str">
        <f>IF(OR(AD93=0,AD93=""),"",IF(COUNTIFS($AR$6:$AR$177,"&gt;"&amp;AR93)+COUNTIFS(AR$6:AR93,"="&amp;AR93)=0,"",COUNTIFS($AR$6:$AR$177,"&gt;"&amp;AR93)+COUNTIFS(AR$6:AR93,"="&amp;AR93)))</f>
        <v/>
      </c>
      <c r="AN93" s="134" t="str">
        <f>IFERROR(IF(OR(AD93=0,AD93=""),"",IF(COUNTIFS($AS$6:$AS$177,"&gt;"&amp;AS93)+COUNTIFS(AS$6:AS93,"="&amp;AS93)=0,"",COUNTIFS($AS$6:$AS$177,"&gt;"&amp;AS93)+COUNTIFS(AS$6:AS93,"="&amp;AS93)+$AM$5)),"")</f>
        <v/>
      </c>
      <c r="AO93" s="134">
        <f>IFERROR(IF(OR(AD93=0,AD93=""),"",IF(COUNTIFS($AT$6:$AT$177,"&gt;"&amp;AT93)+COUNTIFS(AT$6:AT93,"="&amp;AT93)=0,"",COUNTIFS($AT$6:$AT$177,"&gt;"&amp;AT93)+COUNTIFS(AT$6:AT93,"="&amp;AT93)+$AN$5)),"")</f>
        <v>37</v>
      </c>
      <c r="AP93" s="134" t="str">
        <f>IFERROR(IF(OR(AD93=0,AD93=""),"",IF(COUNTIFS($AU$6:$AU$177,"&gt;"&amp;AU93)+COUNTIFS(AU$6:AU93,"="&amp;AU93)=0,"",COUNTIFS($AU$6:$AU$177,"&gt;"&amp;AU93)+COUNTIFS(AU$6:AU93,"="&amp;AU93)+$AO$5)),"")</f>
        <v/>
      </c>
      <c r="AQ93" s="134" t="str">
        <f>IFERROR(IF(OR(AD93=0,AD93=""),"",IF(COUNTIFS($AV$6:$AV$177,"&gt;"&amp;AV93)+COUNTIFS(AV$6:AV93,"="&amp;AV93)=0,"",COUNTIFS($AV$6:$AV$177,"&gt;"&amp;AV93)+COUNTIFS(AV$6:AV93,"="&amp;AV93)+$AP$5)),"")</f>
        <v/>
      </c>
      <c r="AR93" s="78" t="str">
        <f t="shared" si="38"/>
        <v/>
      </c>
      <c r="AS93" s="78" t="str">
        <f t="shared" si="39"/>
        <v/>
      </c>
      <c r="AT93" s="78">
        <f t="shared" si="40"/>
        <v>0.66216216216216217</v>
      </c>
      <c r="AU93" s="78" t="str">
        <f t="shared" si="41"/>
        <v/>
      </c>
      <c r="AV93" s="78" t="str">
        <f t="shared" si="42"/>
        <v/>
      </c>
    </row>
    <row r="94" spans="1:48" ht="16.5" customHeight="1" x14ac:dyDescent="0.3">
      <c r="A94" t="str">
        <f>IF(AD94="","",COUNTIFS($H$6:$H$120,H94,$AF$6:$AF$120,"&gt;"&amp;AF94)+COUNTIFS(H94:$H$120,H94,AF94:$AF$120,AF94))</f>
        <v/>
      </c>
      <c r="C94" t="str">
        <f t="shared" si="36"/>
        <v/>
      </c>
      <c r="D94" t="str">
        <f>IF(AG94=0,"",IF(COUNTIFS($AG$6:$AG$177,"&gt;"&amp;AG94)+COUNTIFS(AG$6:AG94,"="&amp;AG94)=0,"",COUNTIFS($AG$6:$AG$177,"&gt;"&amp;AG94)+COUNTIFS(AG$6:AG94,"="&amp;AG94)))</f>
        <v/>
      </c>
      <c r="F94" s="21" t="s">
        <v>69</v>
      </c>
      <c r="G94" s="113">
        <f>IFERROR(IF(VLOOKUP(F94,Lookups!$A$2:$F$111,2,FALSE)="","",VLOOKUP(F94,Lookups!$A$2:$F$111,2,FALSE)),"")</f>
        <v>1919</v>
      </c>
      <c r="H94" s="113" t="str">
        <f>IFERROR(IF(VLOOKUP(F94,Lookups!$A$2:$F$111,3,FALSE)="","",VLOOKUP(F94,Lookups!$A$2:$F$111,3,FALSE)),"")</f>
        <v>U/G</v>
      </c>
      <c r="I94" s="113" t="str">
        <f>IFERROR(IF(AF94=0,"",VLOOKUP(AF94,Lookups!$K$2:$L$6,2,TRUE)),"")</f>
        <v/>
      </c>
      <c r="J94" s="113" t="str">
        <f>IF(AD94&lt;Lookups!$I$5,"Y","N")</f>
        <v>N</v>
      </c>
      <c r="K94" s="113" t="str">
        <f>IFERROR(IF(VLOOKUP(F94,Lookups!$A$2:$F$111,4,FALSE)="","",VLOOKUP(F94,Lookups!$A$2:$F$111,4,FALSE)),"")</f>
        <v>PCP</v>
      </c>
      <c r="L94" s="113" t="str">
        <f>IFERROR(IF(VLOOKUP(F94,Lookups!$A$2:$F$111,5,FALSE)="","",VLOOKUP(F94,Lookups!$A$2:$F$111,5,FALSE)),"")</f>
        <v>Carisbrooke</v>
      </c>
      <c r="M94" s="114" t="str">
        <f>IFERROR(IF(VLOOKUP(F94,Lookups!$A$2:$F$111,6,FALSE)="","",VLOOKUP(F94,Lookups!$A$2:$F$111,6,FALSE)),"")</f>
        <v>Carisbrooke Raptors</v>
      </c>
      <c r="N94" s="57" t="str">
        <f>IFERROR(IF(VLOOKUP(F94,Scores!$A$1:$I$99,2,FALSE)="","",VLOOKUP(F94,Scores!$A$1:$I$99,2,FALSE)),"")</f>
        <v/>
      </c>
      <c r="O94" s="58" t="str">
        <f>IFERROR(IF(VLOOKUP(F94,Scores!$A$1:$I$99,3,FALSE)="","",VLOOKUP(F94,Scores!$A$1:$I$99,3,FALSE)),"")</f>
        <v/>
      </c>
      <c r="P94" s="58" t="str">
        <f>IFERROR(IF(VLOOKUP(F94,Scores!$A$1:$I$99,4,FALSE)="","",VLOOKUP(F94,Scores!$A$1:$I$99,4,FALSE)),"")</f>
        <v/>
      </c>
      <c r="Q94" s="58" t="str">
        <f>IFERROR(IF(VLOOKUP(F94,Scores!$A$1:$I$99,5,FALSE)="","",VLOOKUP(F94,Scores!$A$1:$I$99,5,FALSE)),"")</f>
        <v/>
      </c>
      <c r="R94" s="58" t="str">
        <f>IFERROR(IF(VLOOKUP(F94,Scores!$A$1:$I$99,6,FALSE)="","",VLOOKUP(F94,Scores!$A$1:$I$99,6,FALSE)),"")</f>
        <v/>
      </c>
      <c r="S94" s="58" t="str">
        <f>IFERROR(IF(VLOOKUP(F94,Scores!$A$1:$I$99,7,FALSE)="","",VLOOKUP(F94,Scores!$A$1:$I$99,7,FALSE)),"")</f>
        <v/>
      </c>
      <c r="T94" s="58" t="str">
        <f>IFERROR(IF(VLOOKUP(F94,Scores!$A$1:$I$99,8,FALSE)="","",VLOOKUP(F94,Scores!$A$1:$I$99,8,FALSE)),"")</f>
        <v/>
      </c>
      <c r="U94" s="60" t="str">
        <f>IFERROR(IF(VLOOKUP(F94,Scores!$A$1:$I$99,9,FALSE)="","",VLOOKUP(F94,Scores!$A$1:$I$99,9,FALSE)),"")</f>
        <v/>
      </c>
      <c r="V94" s="54" t="str">
        <f t="shared" si="43"/>
        <v/>
      </c>
      <c r="W94" s="55" t="str">
        <f t="shared" si="44"/>
        <v/>
      </c>
      <c r="X94" s="55" t="str">
        <f t="shared" si="45"/>
        <v/>
      </c>
      <c r="Y94" s="55" t="str">
        <f t="shared" si="46"/>
        <v/>
      </c>
      <c r="Z94" s="55" t="str">
        <f t="shared" si="47"/>
        <v/>
      </c>
      <c r="AA94" s="55" t="str">
        <f t="shared" si="48"/>
        <v/>
      </c>
      <c r="AB94" s="55" t="str">
        <f t="shared" si="49"/>
        <v/>
      </c>
      <c r="AC94" s="56" t="str">
        <f t="shared" si="50"/>
        <v/>
      </c>
      <c r="AD94" s="79" t="str">
        <f t="shared" si="51"/>
        <v/>
      </c>
      <c r="AE94" s="59" t="str">
        <f t="shared" si="52"/>
        <v/>
      </c>
      <c r="AF94" s="55" t="str" cm="1">
        <f t="array" ref="AF94">IFERROR(IF(AD94&gt;Lookups!$I$5-1,AVERAGE(LARGE(V94:AC94,_xlfn.SEQUENCE(Lookups!$I$5))),AVERAGE(LARGE(V94:AC94,_xlfn.SEQUENCE(AD94)))),"")</f>
        <v/>
      </c>
      <c r="AG94" s="124" t="str">
        <f t="shared" si="53"/>
        <v/>
      </c>
      <c r="AH94" s="78" t="str">
        <f>IF(AD94=Lookups!$I$5+1,LARGE(V94:AC94,5),"")</f>
        <v/>
      </c>
      <c r="AI94" s="78" t="str">
        <f>IF(AD94=Lookups!$I$5+2,LARGE(V94:AC94,6),"")</f>
        <v/>
      </c>
      <c r="AJ94" s="78"/>
      <c r="AK94" s="78"/>
      <c r="AL94" s="140" t="str">
        <f t="shared" si="37"/>
        <v/>
      </c>
      <c r="AM94" s="134" t="str">
        <f>IF(OR(AD94=0,AD94=""),"",IF(COUNTIFS($AR$6:$AR$177,"&gt;"&amp;AR94)+COUNTIFS(AR$6:AR94,"="&amp;AR94)=0,"",COUNTIFS($AR$6:$AR$177,"&gt;"&amp;AR94)+COUNTIFS(AR$6:AR94,"="&amp;AR94)))</f>
        <v/>
      </c>
      <c r="AN94" s="134" t="str">
        <f>IFERROR(IF(OR(AD94=0,AD94=""),"",IF(COUNTIFS($AS$6:$AS$177,"&gt;"&amp;AS94)+COUNTIFS(AS$6:AS94,"="&amp;AS94)=0,"",COUNTIFS($AS$6:$AS$177,"&gt;"&amp;AS94)+COUNTIFS(AS$6:AS94,"="&amp;AS94)+$AM$5)),"")</f>
        <v/>
      </c>
      <c r="AO94" s="134" t="str">
        <f>IFERROR(IF(OR(AD94=0,AD94=""),"",IF(COUNTIFS($AT$6:$AT$177,"&gt;"&amp;AT94)+COUNTIFS(AT$6:AT94,"="&amp;AT94)=0,"",COUNTIFS($AT$6:$AT$177,"&gt;"&amp;AT94)+COUNTIFS(AT$6:AT94,"="&amp;AT94)+$AN$5)),"")</f>
        <v/>
      </c>
      <c r="AP94" s="134" t="str">
        <f>IFERROR(IF(OR(AD94=0,AD94=""),"",IF(COUNTIFS($AU$6:$AU$177,"&gt;"&amp;AU94)+COUNTIFS(AU$6:AU94,"="&amp;AU94)=0,"",COUNTIFS($AU$6:$AU$177,"&gt;"&amp;AU94)+COUNTIFS(AU$6:AU94,"="&amp;AU94)+$AO$5)),"")</f>
        <v/>
      </c>
      <c r="AQ94" s="134" t="str">
        <f>IFERROR(IF(OR(AD94=0,AD94=""),"",IF(COUNTIFS($AV$6:$AV$177,"&gt;"&amp;AV94)+COUNTIFS(AV$6:AV94,"="&amp;AV94)=0,"",COUNTIFS($AV$6:$AV$177,"&gt;"&amp;AV94)+COUNTIFS(AV$6:AV94,"="&amp;AV94)+$AP$5)),"")</f>
        <v/>
      </c>
      <c r="AR94" s="78" t="str">
        <f t="shared" si="38"/>
        <v/>
      </c>
      <c r="AS94" s="78" t="str">
        <f t="shared" si="39"/>
        <v/>
      </c>
      <c r="AT94" s="78" t="str">
        <f t="shared" si="40"/>
        <v/>
      </c>
      <c r="AU94" s="78" t="str">
        <f t="shared" si="41"/>
        <v/>
      </c>
      <c r="AV94" s="78" t="str">
        <f t="shared" si="42"/>
        <v/>
      </c>
    </row>
    <row r="95" spans="1:48" ht="16.5" customHeight="1" x14ac:dyDescent="0.3">
      <c r="A95" t="str">
        <f>IF(AD95="","",COUNTIFS($H$6:$H$120,H95,$AF$6:$AF$120,"&gt;"&amp;AF95)+COUNTIFS(H95:$H$120,H95,AF95:$AF$120,AF95))</f>
        <v/>
      </c>
      <c r="C95" t="str">
        <f t="shared" si="36"/>
        <v/>
      </c>
      <c r="D95" t="str">
        <f>IF(AG95=0,"",IF(COUNTIFS($AG$6:$AG$177,"&gt;"&amp;AG95)+COUNTIFS(AG$6:AG95,"="&amp;AG95)=0,"",COUNTIFS($AG$6:$AG$177,"&gt;"&amp;AG95)+COUNTIFS(AG$6:AG95,"="&amp;AG95)))</f>
        <v/>
      </c>
      <c r="F95" s="19" t="s">
        <v>104</v>
      </c>
      <c r="G95" s="113" t="str">
        <f>IFERROR(IF(VLOOKUP(F95,Lookups!$A$2:$F$111,2,FALSE)="","",VLOOKUP(F95,Lookups!$A$2:$F$111,2,FALSE)),"")</f>
        <v/>
      </c>
      <c r="H95" s="113" t="str">
        <f>IFERROR(IF(VLOOKUP(F95,Lookups!$A$2:$F$111,3,FALSE)="","",VLOOKUP(F95,Lookups!$A$2:$F$111,3,FALSE)),"")</f>
        <v>U/G</v>
      </c>
      <c r="I95" s="113" t="str">
        <f>IFERROR(IF(AF95=0,"",VLOOKUP(AF95,Lookups!$K$2:$L$6,2,TRUE)),"")</f>
        <v/>
      </c>
      <c r="J95" s="113" t="str">
        <f>IF(AD95&lt;Lookups!$I$5,"Y","N")</f>
        <v>N</v>
      </c>
      <c r="K95" s="113" t="str">
        <f>IFERROR(IF(VLOOKUP(F95,Lookups!$A$2:$F$111,4,FALSE)="","",VLOOKUP(F95,Lookups!$A$2:$F$111,4,FALSE)),"")</f>
        <v>PCP</v>
      </c>
      <c r="L95" s="113" t="str">
        <f>IFERROR(IF(VLOOKUP(F95,Lookups!$A$2:$F$111,5,FALSE)="","",VLOOKUP(F95,Lookups!$A$2:$F$111,5,FALSE)),"")</f>
        <v>Weston Warrior</v>
      </c>
      <c r="M95" s="114" t="str">
        <f>IFERROR(IF(VLOOKUP(F95,Lookups!$A$2:$F$111,6,FALSE)="","",VLOOKUP(F95,Lookups!$A$2:$F$111,6,FALSE)),"")</f>
        <v/>
      </c>
      <c r="N95" s="57" t="str">
        <f>IFERROR(IF(VLOOKUP(F95,Scores!$A$1:$I$99,2,FALSE)="","",VLOOKUP(F95,Scores!$A$1:$I$99,2,FALSE)),"")</f>
        <v/>
      </c>
      <c r="O95" s="58" t="str">
        <f>IFERROR(IF(VLOOKUP(F95,Scores!$A$1:$I$99,3,FALSE)="","",VLOOKUP(F95,Scores!$A$1:$I$99,3,FALSE)),"")</f>
        <v/>
      </c>
      <c r="P95" s="58" t="str">
        <f>IFERROR(IF(VLOOKUP(F95,Scores!$A$1:$I$99,4,FALSE)="","",VLOOKUP(F95,Scores!$A$1:$I$99,4,FALSE)),"")</f>
        <v/>
      </c>
      <c r="Q95" s="58" t="str">
        <f>IFERROR(IF(VLOOKUP(F95,Scores!$A$1:$I$99,5,FALSE)="","",VLOOKUP(F95,Scores!$A$1:$I$99,5,FALSE)),"")</f>
        <v/>
      </c>
      <c r="R95" s="58" t="str">
        <f>IFERROR(IF(VLOOKUP(F95,Scores!$A$1:$I$99,6,FALSE)="","",VLOOKUP(F95,Scores!$A$1:$I$99,6,FALSE)),"")</f>
        <v/>
      </c>
      <c r="S95" s="58" t="str">
        <f>IFERROR(IF(VLOOKUP(F95,Scores!$A$1:$I$99,7,FALSE)="","",VLOOKUP(F95,Scores!$A$1:$I$99,7,FALSE)),"")</f>
        <v/>
      </c>
      <c r="T95" s="58" t="str">
        <f>IFERROR(IF(VLOOKUP(F95,Scores!$A$1:$I$99,8,FALSE)="","",VLOOKUP(F95,Scores!$A$1:$I$99,8,FALSE)),"")</f>
        <v/>
      </c>
      <c r="U95" s="60" t="str">
        <f>IFERROR(IF(VLOOKUP(F95,Scores!$A$1:$I$99,9,FALSE)="","",VLOOKUP(F95,Scores!$A$1:$I$99,9,FALSE)),"")</f>
        <v/>
      </c>
      <c r="V95" s="54" t="str">
        <f t="shared" si="43"/>
        <v/>
      </c>
      <c r="W95" s="55" t="str">
        <f t="shared" si="44"/>
        <v/>
      </c>
      <c r="X95" s="55" t="str">
        <f t="shared" si="45"/>
        <v/>
      </c>
      <c r="Y95" s="55" t="str">
        <f t="shared" si="46"/>
        <v/>
      </c>
      <c r="Z95" s="55" t="str">
        <f t="shared" si="47"/>
        <v/>
      </c>
      <c r="AA95" s="55" t="str">
        <f t="shared" si="48"/>
        <v/>
      </c>
      <c r="AB95" s="55" t="str">
        <f t="shared" si="49"/>
        <v/>
      </c>
      <c r="AC95" s="56" t="str">
        <f t="shared" si="50"/>
        <v/>
      </c>
      <c r="AD95" s="79" t="str">
        <f t="shared" si="51"/>
        <v/>
      </c>
      <c r="AE95" s="59" t="str">
        <f t="shared" si="52"/>
        <v/>
      </c>
      <c r="AF95" s="55" t="str" cm="1">
        <f t="array" ref="AF95">IFERROR(IF(AD95&gt;Lookups!$I$5-1,AVERAGE(LARGE(V95:AC95,_xlfn.SEQUENCE(Lookups!$I$5))),AVERAGE(LARGE(V95:AC95,_xlfn.SEQUENCE(AD95)))),"")</f>
        <v/>
      </c>
      <c r="AG95" s="124" t="str">
        <f t="shared" si="53"/>
        <v/>
      </c>
      <c r="AH95" s="78" t="str">
        <f>IF(AD95=Lookups!$I$5+1,LARGE(V95:AC95,5),"")</f>
        <v/>
      </c>
      <c r="AI95" s="78" t="str">
        <f>IF(AD95=Lookups!$I$5+2,LARGE(V95:AC95,6),"")</f>
        <v/>
      </c>
      <c r="AJ95" s="78"/>
      <c r="AK95" s="78"/>
      <c r="AL95" s="140" t="str">
        <f t="shared" si="37"/>
        <v/>
      </c>
      <c r="AM95" s="134" t="str">
        <f>IF(OR(AD95=0,AD95=""),"",IF(COUNTIFS($AR$6:$AR$177,"&gt;"&amp;AR95)+COUNTIFS(AR$6:AR95,"="&amp;AR95)=0,"",COUNTIFS($AR$6:$AR$177,"&gt;"&amp;AR95)+COUNTIFS(AR$6:AR95,"="&amp;AR95)))</f>
        <v/>
      </c>
      <c r="AN95" s="134" t="str">
        <f>IFERROR(IF(OR(AD95=0,AD95=""),"",IF(COUNTIFS($AS$6:$AS$177,"&gt;"&amp;AS95)+COUNTIFS(AS$6:AS95,"="&amp;AS95)=0,"",COUNTIFS($AS$6:$AS$177,"&gt;"&amp;AS95)+COUNTIFS(AS$6:AS95,"="&amp;AS95)+$AM$5)),"")</f>
        <v/>
      </c>
      <c r="AO95" s="134" t="str">
        <f>IFERROR(IF(OR(AD95=0,AD95=""),"",IF(COUNTIFS($AT$6:$AT$177,"&gt;"&amp;AT95)+COUNTIFS(AT$6:AT95,"="&amp;AT95)=0,"",COUNTIFS($AT$6:$AT$177,"&gt;"&amp;AT95)+COUNTIFS(AT$6:AT95,"="&amp;AT95)+$AN$5)),"")</f>
        <v/>
      </c>
      <c r="AP95" s="134" t="str">
        <f>IFERROR(IF(OR(AD95=0,AD95=""),"",IF(COUNTIFS($AU$6:$AU$177,"&gt;"&amp;AU95)+COUNTIFS(AU$6:AU95,"="&amp;AU95)=0,"",COUNTIFS($AU$6:$AU$177,"&gt;"&amp;AU95)+COUNTIFS(AU$6:AU95,"="&amp;AU95)+$AO$5)),"")</f>
        <v/>
      </c>
      <c r="AQ95" s="134" t="str">
        <f>IFERROR(IF(OR(AD95=0,AD95=""),"",IF(COUNTIFS($AV$6:$AV$177,"&gt;"&amp;AV95)+COUNTIFS(AV$6:AV95,"="&amp;AV95)=0,"",COUNTIFS($AV$6:$AV$177,"&gt;"&amp;AV95)+COUNTIFS(AV$6:AV95,"="&amp;AV95)+$AP$5)),"")</f>
        <v/>
      </c>
      <c r="AR95" s="78" t="str">
        <f t="shared" si="38"/>
        <v/>
      </c>
      <c r="AS95" s="78" t="str">
        <f t="shared" si="39"/>
        <v/>
      </c>
      <c r="AT95" s="78" t="str">
        <f t="shared" si="40"/>
        <v/>
      </c>
      <c r="AU95" s="78" t="str">
        <f t="shared" si="41"/>
        <v/>
      </c>
      <c r="AV95" s="78" t="str">
        <f t="shared" si="42"/>
        <v/>
      </c>
    </row>
    <row r="96" spans="1:48" ht="16.5" customHeight="1" x14ac:dyDescent="0.3">
      <c r="A96">
        <f>IF(AD96="","",COUNTIFS($H$6:$H$120,H96,$AF$6:$AF$120,"&gt;"&amp;AF96)+COUNTIFS(H96:$H$120,H96,AF96:$AF$120,AF96))</f>
        <v>2</v>
      </c>
      <c r="C96">
        <f t="shared" si="36"/>
        <v>39</v>
      </c>
      <c r="D96">
        <f>IF(AG96=0,"",IF(COUNTIFS($AG$6:$AG$177,"&gt;"&amp;AG96)+COUNTIFS(AG$6:AG96,"="&amp;AG96)=0,"",COUNTIFS($AG$6:$AG$177,"&gt;"&amp;AG96)+COUNTIFS(AG$6:AG96,"="&amp;AG96)))</f>
        <v>40</v>
      </c>
      <c r="F96" s="21" t="s">
        <v>76</v>
      </c>
      <c r="G96" s="113" t="str">
        <f>IFERROR(IF(VLOOKUP(F96,Lookups!$A$2:$F$111,2,FALSE)="","",VLOOKUP(F96,Lookups!$A$2:$F$111,2,FALSE)),"")</f>
        <v/>
      </c>
      <c r="H96" s="113" t="str">
        <f>IFERROR(IF(VLOOKUP(F96,Lookups!$A$2:$F$111,3,FALSE)="","",VLOOKUP(F96,Lookups!$A$2:$F$111,3,FALSE)),"")</f>
        <v>U/G</v>
      </c>
      <c r="I96" s="113" t="str">
        <f>IFERROR(IF(AF96=0,"",VLOOKUP(AF96,Lookups!$K$2:$L$6,2,TRUE)),"")</f>
        <v>AA</v>
      </c>
      <c r="J96" s="113" t="str">
        <f>IF(AD96&lt;Lookups!$I$5,"Y","N")</f>
        <v>Y</v>
      </c>
      <c r="K96" s="113" t="str">
        <f>IFERROR(IF(VLOOKUP(F96,Lookups!$A$2:$F$111,4,FALSE)="","",VLOOKUP(F96,Lookups!$A$2:$F$111,4,FALSE)),"")</f>
        <v>PCP</v>
      </c>
      <c r="L96" s="113" t="str">
        <f>IFERROR(IF(VLOOKUP(F96,Lookups!$A$2:$F$111,5,FALSE)="","",VLOOKUP(F96,Lookups!$A$2:$F$111,5,FALSE)),"")</f>
        <v>Buccaneers</v>
      </c>
      <c r="M96" s="114" t="str">
        <f>IFERROR(IF(VLOOKUP(F96,Lookups!$A$2:$F$111,6,FALSE)="","",VLOOKUP(F96,Lookups!$A$2:$F$111,6,FALSE)),"")</f>
        <v/>
      </c>
      <c r="N96" s="57" t="str">
        <f>IFERROR(IF(VLOOKUP(F96,Scores!$A$1:$I$99,2,FALSE)="","",VLOOKUP(F96,Scores!$A$1:$I$99,2,FALSE)),"")</f>
        <v/>
      </c>
      <c r="O96" s="58" t="str">
        <f>IFERROR(IF(VLOOKUP(F96,Scores!$A$1:$I$99,3,FALSE)="","",VLOOKUP(F96,Scores!$A$1:$I$99,3,FALSE)),"")</f>
        <v/>
      </c>
      <c r="P96" s="58">
        <f>IFERROR(IF(VLOOKUP(F96,Scores!$A$1:$I$99,4,FALSE)="","",VLOOKUP(F96,Scores!$A$1:$I$99,4,FALSE)),"")</f>
        <v>34</v>
      </c>
      <c r="Q96" s="58" t="str">
        <f>IFERROR(IF(VLOOKUP(F96,Scores!$A$1:$I$99,5,FALSE)="","",VLOOKUP(F96,Scores!$A$1:$I$99,5,FALSE)),"")</f>
        <v/>
      </c>
      <c r="R96" s="58" t="str">
        <f>IFERROR(IF(VLOOKUP(F96,Scores!$A$1:$I$99,6,FALSE)="","",VLOOKUP(F96,Scores!$A$1:$I$99,6,FALSE)),"")</f>
        <v/>
      </c>
      <c r="S96" s="58" t="str">
        <f>IFERROR(IF(VLOOKUP(F96,Scores!$A$1:$I$99,7,FALSE)="","",VLOOKUP(F96,Scores!$A$1:$I$99,7,FALSE)),"")</f>
        <v/>
      </c>
      <c r="T96" s="58" t="str">
        <f>IFERROR(IF(VLOOKUP(F96,Scores!$A$1:$I$99,8,FALSE)="","",VLOOKUP(F96,Scores!$A$1:$I$99,8,FALSE)),"")</f>
        <v/>
      </c>
      <c r="U96" s="60" t="str">
        <f>IFERROR(IF(VLOOKUP(F96,Scores!$A$1:$I$99,9,FALSE)="","",VLOOKUP(F96,Scores!$A$1:$I$99,9,FALSE)),"")</f>
        <v/>
      </c>
      <c r="V96" s="54" t="str">
        <f t="shared" si="43"/>
        <v/>
      </c>
      <c r="W96" s="55" t="str">
        <f t="shared" si="44"/>
        <v/>
      </c>
      <c r="X96" s="55">
        <f t="shared" si="45"/>
        <v>0.91891891891891897</v>
      </c>
      <c r="Y96" s="55" t="str">
        <f t="shared" si="46"/>
        <v/>
      </c>
      <c r="Z96" s="55" t="str">
        <f t="shared" si="47"/>
        <v/>
      </c>
      <c r="AA96" s="55" t="str">
        <f t="shared" si="48"/>
        <v/>
      </c>
      <c r="AB96" s="55" t="str">
        <f t="shared" si="49"/>
        <v/>
      </c>
      <c r="AC96" s="56" t="str">
        <f t="shared" si="50"/>
        <v/>
      </c>
      <c r="AD96" s="79">
        <f t="shared" si="51"/>
        <v>1</v>
      </c>
      <c r="AE96" s="59">
        <f t="shared" si="52"/>
        <v>0.91891891891891897</v>
      </c>
      <c r="AF96" s="55" cm="1">
        <f t="array" ref="AF96">IFERROR(IF(AD96&gt;Lookups!$I$5-1,AVERAGE(LARGE(V96:AC96,_xlfn.SEQUENCE(Lookups!$I$5))),AVERAGE(LARGE(V96:AC96,_xlfn.SEQUENCE(AD96)))),"")</f>
        <v>0.91891891891891897</v>
      </c>
      <c r="AG96" s="124">
        <f t="shared" si="53"/>
        <v>34</v>
      </c>
      <c r="AH96" s="78" t="str">
        <f>IF(AD96=Lookups!$I$5+1,LARGE(V96:AC96,5),"")</f>
        <v/>
      </c>
      <c r="AI96" s="78" t="str">
        <f>IF(AD96=Lookups!$I$5+2,LARGE(V96:AC96,6),"")</f>
        <v/>
      </c>
      <c r="AJ96" s="78"/>
      <c r="AK96" s="78"/>
      <c r="AL96" s="140">
        <f t="shared" si="37"/>
        <v>39</v>
      </c>
      <c r="AM96" s="134" t="str">
        <f>IF(OR(AD96=0,AD96=""),"",IF(COUNTIFS($AR$6:$AR$177,"&gt;"&amp;AR96)+COUNTIFS(AR$6:AR96,"="&amp;AR96)=0,"",COUNTIFS($AR$6:$AR$177,"&gt;"&amp;AR96)+COUNTIFS(AR$6:AR96,"="&amp;AR96)))</f>
        <v/>
      </c>
      <c r="AN96" s="134" t="str">
        <f>IFERROR(IF(OR(AD96=0,AD96=""),"",IF(COUNTIFS($AS$6:$AS$177,"&gt;"&amp;AS96)+COUNTIFS(AS$6:AS96,"="&amp;AS96)=0,"",COUNTIFS($AS$6:$AS$177,"&gt;"&amp;AS96)+COUNTIFS(AS$6:AS96,"="&amp;AS96)+$AM$5)),"")</f>
        <v/>
      </c>
      <c r="AO96" s="134" t="str">
        <f>IFERROR(IF(OR(AD96=0,AD96=""),"",IF(COUNTIFS($AT$6:$AT$177,"&gt;"&amp;AT96)+COUNTIFS(AT$6:AT96,"="&amp;AT96)=0,"",COUNTIFS($AT$6:$AT$177,"&gt;"&amp;AT96)+COUNTIFS(AT$6:AT96,"="&amp;AT96)+$AN$5)),"")</f>
        <v/>
      </c>
      <c r="AP96" s="134">
        <f>IFERROR(IF(OR(AD96=0,AD96=""),"",IF(COUNTIFS($AU$6:$AU$177,"&gt;"&amp;AU96)+COUNTIFS(AU$6:AU96,"="&amp;AU96)=0,"",COUNTIFS($AU$6:$AU$177,"&gt;"&amp;AU96)+COUNTIFS(AU$6:AU96,"="&amp;AU96)+$AO$5)),"")</f>
        <v>39</v>
      </c>
      <c r="AQ96" s="134" t="str">
        <f>IFERROR(IF(OR(AD96=0,AD96=""),"",IF(COUNTIFS($AV$6:$AV$177,"&gt;"&amp;AV96)+COUNTIFS(AV$6:AV96,"="&amp;AV96)=0,"",COUNTIFS($AV$6:$AV$177,"&gt;"&amp;AV96)+COUNTIFS(AV$6:AV96,"="&amp;AV96)+$AP$5)),"")</f>
        <v/>
      </c>
      <c r="AR96" s="78" t="str">
        <f t="shared" si="38"/>
        <v/>
      </c>
      <c r="AS96" s="78" t="str">
        <f t="shared" si="39"/>
        <v/>
      </c>
      <c r="AT96" s="78" t="str">
        <f t="shared" si="40"/>
        <v/>
      </c>
      <c r="AU96" s="78">
        <f t="shared" si="41"/>
        <v>0.91891891891891897</v>
      </c>
      <c r="AV96" s="78" t="str">
        <f t="shared" si="42"/>
        <v/>
      </c>
    </row>
    <row r="97" spans="1:48" ht="16.5" customHeight="1" x14ac:dyDescent="0.3">
      <c r="A97" t="str">
        <f>IF(AD97="","",COUNTIFS($H$6:$H$120,H97,$AF$6:$AF$120,"&gt;"&amp;AF97)+COUNTIFS(H97:$H$120,H97,AF97:$AF$120,AF97))</f>
        <v/>
      </c>
      <c r="C97" t="str">
        <f t="shared" si="36"/>
        <v/>
      </c>
      <c r="D97" t="str">
        <f>IF(AG97=0,"",IF(COUNTIFS($AG$6:$AG$177,"&gt;"&amp;AG97)+COUNTIFS(AG$6:AG97,"="&amp;AG97)=0,"",COUNTIFS($AG$6:$AG$177,"&gt;"&amp;AG97)+COUNTIFS(AG$6:AG97,"="&amp;AG97)))</f>
        <v/>
      </c>
      <c r="F97" s="21" t="s">
        <v>75</v>
      </c>
      <c r="G97" s="113" t="str">
        <f>IFERROR(IF(VLOOKUP(F97,Lookups!$A$2:$F$111,2,FALSE)="","",VLOOKUP(F97,Lookups!$A$2:$F$111,2,FALSE)),"")</f>
        <v/>
      </c>
      <c r="H97" s="113" t="str">
        <f>IFERROR(IF(VLOOKUP(F97,Lookups!$A$2:$F$111,3,FALSE)="","",VLOOKUP(F97,Lookups!$A$2:$F$111,3,FALSE)),"")</f>
        <v>U/G</v>
      </c>
      <c r="I97" s="113" t="str">
        <f>IFERROR(IF(AF97=0,"",VLOOKUP(AF97,Lookups!$K$2:$L$6,2,TRUE)),"")</f>
        <v/>
      </c>
      <c r="J97" s="113" t="str">
        <f>IF(AD97&lt;Lookups!$I$5,"Y","N")</f>
        <v>N</v>
      </c>
      <c r="K97" s="113" t="str">
        <f>IFERROR(IF(VLOOKUP(F97,Lookups!$A$2:$F$111,4,FALSE)="","",VLOOKUP(F97,Lookups!$A$2:$F$111,4,FALSE)),"")</f>
        <v>PCP</v>
      </c>
      <c r="L97" s="113" t="str">
        <f>IFERROR(IF(VLOOKUP(F97,Lookups!$A$2:$F$111,5,FALSE)="","",VLOOKUP(F97,Lookups!$A$2:$F$111,5,FALSE)),"")</f>
        <v>Weston Warrior</v>
      </c>
      <c r="M97" s="114" t="str">
        <f>IFERROR(IF(VLOOKUP(F97,Lookups!$A$2:$F$111,6,FALSE)="","",VLOOKUP(F97,Lookups!$A$2:$F$111,6,FALSE)),"")</f>
        <v/>
      </c>
      <c r="N97" s="57" t="str">
        <f>IFERROR(IF(VLOOKUP(F97,Scores!$A$1:$I$99,2,FALSE)="","",VLOOKUP(F97,Scores!$A$1:$I$99,2,FALSE)),"")</f>
        <v/>
      </c>
      <c r="O97" s="58" t="str">
        <f>IFERROR(IF(VLOOKUP(F97,Scores!$A$1:$I$99,3,FALSE)="","",VLOOKUP(F97,Scores!$A$1:$I$99,3,FALSE)),"")</f>
        <v/>
      </c>
      <c r="P97" s="58" t="str">
        <f>IFERROR(IF(VLOOKUP(F97,Scores!$A$1:$I$99,4,FALSE)="","",VLOOKUP(F97,Scores!$A$1:$I$99,4,FALSE)),"")</f>
        <v/>
      </c>
      <c r="Q97" s="58" t="str">
        <f>IFERROR(IF(VLOOKUP(F97,Scores!$A$1:$I$99,5,FALSE)="","",VLOOKUP(F97,Scores!$A$1:$I$99,5,FALSE)),"")</f>
        <v/>
      </c>
      <c r="R97" s="58" t="str">
        <f>IFERROR(IF(VLOOKUP(F97,Scores!$A$1:$I$99,6,FALSE)="","",VLOOKUP(F97,Scores!$A$1:$I$99,6,FALSE)),"")</f>
        <v/>
      </c>
      <c r="S97" s="58" t="str">
        <f>IFERROR(IF(VLOOKUP(F97,Scores!$A$1:$I$99,7,FALSE)="","",VLOOKUP(F97,Scores!$A$1:$I$99,7,FALSE)),"")</f>
        <v/>
      </c>
      <c r="T97" s="58" t="str">
        <f>IFERROR(IF(VLOOKUP(F97,Scores!$A$1:$I$99,8,FALSE)="","",VLOOKUP(F97,Scores!$A$1:$I$99,8,FALSE)),"")</f>
        <v/>
      </c>
      <c r="U97" s="60" t="str">
        <f>IFERROR(IF(VLOOKUP(F97,Scores!$A$1:$I$99,9,FALSE)="","",VLOOKUP(F97,Scores!$A$1:$I$99,9,FALSE)),"")</f>
        <v/>
      </c>
      <c r="V97" s="54" t="str">
        <f t="shared" si="43"/>
        <v/>
      </c>
      <c r="W97" s="55" t="str">
        <f t="shared" si="44"/>
        <v/>
      </c>
      <c r="X97" s="55" t="str">
        <f t="shared" si="45"/>
        <v/>
      </c>
      <c r="Y97" s="55" t="str">
        <f t="shared" si="46"/>
        <v/>
      </c>
      <c r="Z97" s="55" t="str">
        <f t="shared" si="47"/>
        <v/>
      </c>
      <c r="AA97" s="55" t="str">
        <f t="shared" si="48"/>
        <v/>
      </c>
      <c r="AB97" s="55" t="str">
        <f t="shared" si="49"/>
        <v/>
      </c>
      <c r="AC97" s="56" t="str">
        <f t="shared" si="50"/>
        <v/>
      </c>
      <c r="AD97" s="79" t="str">
        <f t="shared" si="51"/>
        <v/>
      </c>
      <c r="AE97" s="59" t="str">
        <f t="shared" si="52"/>
        <v/>
      </c>
      <c r="AF97" s="55" t="str" cm="1">
        <f t="array" ref="AF97">IFERROR(IF(AD97&gt;Lookups!$I$5-1,AVERAGE(LARGE(V97:AC97,_xlfn.SEQUENCE(Lookups!$I$5))),AVERAGE(LARGE(V97:AC97,_xlfn.SEQUENCE(AD97)))),"")</f>
        <v/>
      </c>
      <c r="AG97" s="124" t="str">
        <f t="shared" si="53"/>
        <v/>
      </c>
      <c r="AH97" s="78" t="str">
        <f>IF(AD97=Lookups!$I$5+1,LARGE(V97:AC97,5),"")</f>
        <v/>
      </c>
      <c r="AI97" s="78" t="str">
        <f>IF(AD97=Lookups!$I$5+2,LARGE(V97:AC97,6),"")</f>
        <v/>
      </c>
      <c r="AJ97" s="78"/>
      <c r="AK97" s="78"/>
      <c r="AL97" s="140" t="str">
        <f t="shared" si="37"/>
        <v/>
      </c>
      <c r="AM97" s="134" t="str">
        <f>IF(OR(AD97=0,AD97=""),"",IF(COUNTIFS($AR$6:$AR$177,"&gt;"&amp;AR97)+COUNTIFS(AR$6:AR97,"="&amp;AR97)=0,"",COUNTIFS($AR$6:$AR$177,"&gt;"&amp;AR97)+COUNTIFS(AR$6:AR97,"="&amp;AR97)))</f>
        <v/>
      </c>
      <c r="AN97" s="134" t="str">
        <f>IFERROR(IF(OR(AD97=0,AD97=""),"",IF(COUNTIFS($AS$6:$AS$177,"&gt;"&amp;AS97)+COUNTIFS(AS$6:AS97,"="&amp;AS97)=0,"",COUNTIFS($AS$6:$AS$177,"&gt;"&amp;AS97)+COUNTIFS(AS$6:AS97,"="&amp;AS97)+$AM$5)),"")</f>
        <v/>
      </c>
      <c r="AO97" s="134" t="str">
        <f>IFERROR(IF(OR(AD97=0,AD97=""),"",IF(COUNTIFS($AT$6:$AT$177,"&gt;"&amp;AT97)+COUNTIFS(AT$6:AT97,"="&amp;AT97)=0,"",COUNTIFS($AT$6:$AT$177,"&gt;"&amp;AT97)+COUNTIFS(AT$6:AT97,"="&amp;AT97)+$AN$5)),"")</f>
        <v/>
      </c>
      <c r="AP97" s="134" t="str">
        <f>IFERROR(IF(OR(AD97=0,AD97=""),"",IF(COUNTIFS($AU$6:$AU$177,"&gt;"&amp;AU97)+COUNTIFS(AU$6:AU97,"="&amp;AU97)=0,"",COUNTIFS($AU$6:$AU$177,"&gt;"&amp;AU97)+COUNTIFS(AU$6:AU97,"="&amp;AU97)+$AO$5)),"")</f>
        <v/>
      </c>
      <c r="AQ97" s="134" t="str">
        <f>IFERROR(IF(OR(AD97=0,AD97=""),"",IF(COUNTIFS($AV$6:$AV$177,"&gt;"&amp;AV97)+COUNTIFS(AV$6:AV97,"="&amp;AV97)=0,"",COUNTIFS($AV$6:$AV$177,"&gt;"&amp;AV97)+COUNTIFS(AV$6:AV97,"="&amp;AV97)+$AP$5)),"")</f>
        <v/>
      </c>
      <c r="AR97" s="78" t="str">
        <f t="shared" si="38"/>
        <v/>
      </c>
      <c r="AS97" s="78" t="str">
        <f t="shared" si="39"/>
        <v/>
      </c>
      <c r="AT97" s="78" t="str">
        <f t="shared" si="40"/>
        <v/>
      </c>
      <c r="AU97" s="78" t="str">
        <f t="shared" si="41"/>
        <v/>
      </c>
      <c r="AV97" s="78" t="str">
        <f t="shared" si="42"/>
        <v/>
      </c>
    </row>
    <row r="98" spans="1:48" ht="16.5" customHeight="1" x14ac:dyDescent="0.3">
      <c r="A98" t="str">
        <f>IF(AD98="","",COUNTIFS($H$6:$H$120,H98,$AF$6:$AF$120,"&gt;"&amp;AF98)+COUNTIFS(H98:$H$120,H98,AF98:$AF$120,AF98))</f>
        <v/>
      </c>
      <c r="C98" t="str">
        <f t="shared" si="36"/>
        <v/>
      </c>
      <c r="D98" t="str">
        <f>IF(AG98=0,"",IF(COUNTIFS($AG$6:$AG$177,"&gt;"&amp;AG98)+COUNTIFS(AG$6:AG98,"="&amp;AG98)=0,"",COUNTIFS($AG$6:$AG$177,"&gt;"&amp;AG98)+COUNTIFS(AG$6:AG98,"="&amp;AG98)))</f>
        <v/>
      </c>
      <c r="F98" s="21" t="s">
        <v>72</v>
      </c>
      <c r="G98" s="113" t="str">
        <f>IFERROR(IF(VLOOKUP(F98,Lookups!$A$2:$F$111,2,FALSE)="","",VLOOKUP(F98,Lookups!$A$2:$F$111,2,FALSE)),"")</f>
        <v/>
      </c>
      <c r="H98" s="113" t="str">
        <f>IFERROR(IF(VLOOKUP(F98,Lookups!$A$2:$F$111,3,FALSE)="","",VLOOKUP(F98,Lookups!$A$2:$F$111,3,FALSE)),"")</f>
        <v>U/G</v>
      </c>
      <c r="I98" s="113" t="str">
        <f>IFERROR(IF(AF98=0,"",VLOOKUP(AF98,Lookups!$K$2:$L$6,2,TRUE)),"")</f>
        <v/>
      </c>
      <c r="J98" s="113" t="str">
        <f>IF(AD98&lt;Lookups!$I$5,"Y","N")</f>
        <v>N</v>
      </c>
      <c r="K98" s="113" t="str">
        <f>IFERROR(IF(VLOOKUP(F98,Lookups!$A$2:$F$111,4,FALSE)="","",VLOOKUP(F98,Lookups!$A$2:$F$111,4,FALSE)),"")</f>
        <v>PCP</v>
      </c>
      <c r="L98" s="113" t="str">
        <f>IFERROR(IF(VLOOKUP(F98,Lookups!$A$2:$F$111,5,FALSE)="","",VLOOKUP(F98,Lookups!$A$2:$F$111,5,FALSE)),"")</f>
        <v>Buccaneers</v>
      </c>
      <c r="M98" s="114" t="str">
        <f>IFERROR(IF(VLOOKUP(F98,Lookups!$A$2:$F$111,6,FALSE)="","",VLOOKUP(F98,Lookups!$A$2:$F$111,6,FALSE)),"")</f>
        <v/>
      </c>
      <c r="N98" s="57" t="str">
        <f>IFERROR(IF(VLOOKUP(F98,Scores!$A$1:$I$99,2,FALSE)="","",VLOOKUP(F98,Scores!$A$1:$I$99,2,FALSE)),"")</f>
        <v/>
      </c>
      <c r="O98" s="58" t="str">
        <f>IFERROR(IF(VLOOKUP(F98,Scores!$A$1:$I$99,3,FALSE)="","",VLOOKUP(F98,Scores!$A$1:$I$99,3,FALSE)),"")</f>
        <v/>
      </c>
      <c r="P98" s="58" t="str">
        <f>IFERROR(IF(VLOOKUP(F98,Scores!$A$1:$I$99,4,FALSE)="","",VLOOKUP(F98,Scores!$A$1:$I$99,4,FALSE)),"")</f>
        <v/>
      </c>
      <c r="Q98" s="58" t="str">
        <f>IFERROR(IF(VLOOKUP(F98,Scores!$A$1:$I$99,5,FALSE)="","",VLOOKUP(F98,Scores!$A$1:$I$99,5,FALSE)),"")</f>
        <v/>
      </c>
      <c r="R98" s="58" t="str">
        <f>IFERROR(IF(VLOOKUP(F98,Scores!$A$1:$I$99,6,FALSE)="","",VLOOKUP(F98,Scores!$A$1:$I$99,6,FALSE)),"")</f>
        <v/>
      </c>
      <c r="S98" s="58" t="str">
        <f>IFERROR(IF(VLOOKUP(F98,Scores!$A$1:$I$99,7,FALSE)="","",VLOOKUP(F98,Scores!$A$1:$I$99,7,FALSE)),"")</f>
        <v/>
      </c>
      <c r="T98" s="58" t="str">
        <f>IFERROR(IF(VLOOKUP(F98,Scores!$A$1:$I$99,8,FALSE)="","",VLOOKUP(F98,Scores!$A$1:$I$99,8,FALSE)),"")</f>
        <v/>
      </c>
      <c r="U98" s="60" t="str">
        <f>IFERROR(IF(VLOOKUP(F98,Scores!$A$1:$I$99,9,FALSE)="","",VLOOKUP(F98,Scores!$A$1:$I$99,9,FALSE)),"")</f>
        <v/>
      </c>
      <c r="V98" s="54" t="str">
        <f t="shared" ref="V98:V110" si="54">IFERROR(IF(F98="","",N98/$N$4),"")</f>
        <v/>
      </c>
      <c r="W98" s="55" t="str">
        <f t="shared" ref="W98:W110" si="55">IFERROR(IF(F98="","",O98/$O$4),"")</f>
        <v/>
      </c>
      <c r="X98" s="55" t="str">
        <f t="shared" ref="X98:X110" si="56">IFERROR(IF(F98="","",P98/$P$4),"")</f>
        <v/>
      </c>
      <c r="Y98" s="55" t="str">
        <f t="shared" ref="Y98:Y110" si="57">IFERROR(IF(F98="","",Q98/$Q$4),"")</f>
        <v/>
      </c>
      <c r="Z98" s="55" t="str">
        <f t="shared" ref="Z98:Z110" si="58">IFERROR(IF(F98="","",R98/$R$4),"")</f>
        <v/>
      </c>
      <c r="AA98" s="55" t="str">
        <f t="shared" ref="AA98:AA110" si="59">IFERROR(IF(F98="","",S98/$S$4),"")</f>
        <v/>
      </c>
      <c r="AB98" s="55" t="str">
        <f t="shared" ref="AB98:AB110" si="60">IFERROR(IF(F98="","",T98/$T$4),"")</f>
        <v/>
      </c>
      <c r="AC98" s="56" t="str">
        <f t="shared" ref="AC98:AC110" si="61">IFERROR(IF(F98="","",U98/$U$4),"")</f>
        <v/>
      </c>
      <c r="AD98" s="79" t="str">
        <f t="shared" si="51"/>
        <v/>
      </c>
      <c r="AE98" s="59" t="str">
        <f t="shared" si="52"/>
        <v/>
      </c>
      <c r="AF98" s="55" t="str" cm="1">
        <f t="array" ref="AF98">IFERROR(IF(AD98&gt;Lookups!$I$5-1,AVERAGE(LARGE(V98:AC98,_xlfn.SEQUENCE(Lookups!$I$5))),AVERAGE(LARGE(V98:AC98,_xlfn.SEQUENCE(AD98)))),"")</f>
        <v/>
      </c>
      <c r="AG98" s="124" t="str">
        <f t="shared" si="53"/>
        <v/>
      </c>
      <c r="AH98" s="78" t="str">
        <f>IF(AD98=Lookups!$I$5+1,LARGE(V98:AC98,5),"")</f>
        <v/>
      </c>
      <c r="AI98" s="78" t="str">
        <f>IF(AD98=Lookups!$I$5+2,LARGE(V98:AC98,6),"")</f>
        <v/>
      </c>
      <c r="AJ98" s="78"/>
      <c r="AK98" s="78"/>
      <c r="AL98" s="140" t="str">
        <f t="shared" si="37"/>
        <v/>
      </c>
      <c r="AM98" s="134" t="str">
        <f>IF(OR(AD98=0,AD98=""),"",IF(COUNTIFS($AR$6:$AR$177,"&gt;"&amp;AR98)+COUNTIFS(AR$6:AR98,"="&amp;AR98)=0,"",COUNTIFS($AR$6:$AR$177,"&gt;"&amp;AR98)+COUNTIFS(AR$6:AR98,"="&amp;AR98)))</f>
        <v/>
      </c>
      <c r="AN98" s="134" t="str">
        <f>IFERROR(IF(OR(AD98=0,AD98=""),"",IF(COUNTIFS($AS$6:$AS$177,"&gt;"&amp;AS98)+COUNTIFS(AS$6:AS98,"="&amp;AS98)=0,"",COUNTIFS($AS$6:$AS$177,"&gt;"&amp;AS98)+COUNTIFS(AS$6:AS98,"="&amp;AS98)+$AM$5)),"")</f>
        <v/>
      </c>
      <c r="AO98" s="134" t="str">
        <f>IFERROR(IF(OR(AD98=0,AD98=""),"",IF(COUNTIFS($AT$6:$AT$177,"&gt;"&amp;AT98)+COUNTIFS(AT$6:AT98,"="&amp;AT98)=0,"",COUNTIFS($AT$6:$AT$177,"&gt;"&amp;AT98)+COUNTIFS(AT$6:AT98,"="&amp;AT98)+$AN$5)),"")</f>
        <v/>
      </c>
      <c r="AP98" s="134" t="str">
        <f>IFERROR(IF(OR(AD98=0,AD98=""),"",IF(COUNTIFS($AU$6:$AU$177,"&gt;"&amp;AU98)+COUNTIFS(AU$6:AU98,"="&amp;AU98)=0,"",COUNTIFS($AU$6:$AU$177,"&gt;"&amp;AU98)+COUNTIFS(AU$6:AU98,"="&amp;AU98)+$AO$5)),"")</f>
        <v/>
      </c>
      <c r="AQ98" s="134" t="str">
        <f>IFERROR(IF(OR(AD98=0,AD98=""),"",IF(COUNTIFS($AV$6:$AV$177,"&gt;"&amp;AV98)+COUNTIFS(AV$6:AV98,"="&amp;AV98)=0,"",COUNTIFS($AV$6:$AV$177,"&gt;"&amp;AV98)+COUNTIFS(AV$6:AV98,"="&amp;AV98)+$AP$5)),"")</f>
        <v/>
      </c>
      <c r="AR98" s="78" t="str">
        <f t="shared" si="38"/>
        <v/>
      </c>
      <c r="AS98" s="78" t="str">
        <f t="shared" si="39"/>
        <v/>
      </c>
      <c r="AT98" s="78" t="str">
        <f t="shared" si="40"/>
        <v/>
      </c>
      <c r="AU98" s="78" t="str">
        <f t="shared" si="41"/>
        <v/>
      </c>
      <c r="AV98" s="78" t="str">
        <f t="shared" si="42"/>
        <v/>
      </c>
    </row>
    <row r="99" spans="1:48" ht="16.5" customHeight="1" x14ac:dyDescent="0.3">
      <c r="A99" t="str">
        <f>IF(AD99="","",COUNTIFS($H$6:$H$120,H99,$AF$6:$AF$120,"&gt;"&amp;AF99)+COUNTIFS(H99:$H$120,H99,AF99:$AF$120,AF99))</f>
        <v/>
      </c>
      <c r="C99" t="str">
        <f t="shared" si="36"/>
        <v/>
      </c>
      <c r="D99" t="str">
        <f>IF(AG99=0,"",IF(COUNTIFS($AG$6:$AG$177,"&gt;"&amp;AG99)+COUNTIFS(AG$6:AG99,"="&amp;AG99)=0,"",COUNTIFS($AG$6:$AG$177,"&gt;"&amp;AG99)+COUNTIFS(AG$6:AG99,"="&amp;AG99)))</f>
        <v/>
      </c>
      <c r="F99" s="21" t="s">
        <v>71</v>
      </c>
      <c r="G99" s="113" t="str">
        <f>IFERROR(IF(VLOOKUP(F99,Lookups!$A$2:$F$111,2,FALSE)="","",VLOOKUP(F99,Lookups!$A$2:$F$111,2,FALSE)),"")</f>
        <v/>
      </c>
      <c r="H99" s="113" t="str">
        <f>IFERROR(IF(VLOOKUP(F99,Lookups!$A$2:$F$111,3,FALSE)="","",VLOOKUP(F99,Lookups!$A$2:$F$111,3,FALSE)),"")</f>
        <v>U/G</v>
      </c>
      <c r="I99" s="113" t="str">
        <f>IFERROR(IF(AF99=0,"",VLOOKUP(AF99,Lookups!$K$2:$L$6,2,TRUE)),"")</f>
        <v/>
      </c>
      <c r="J99" s="113" t="str">
        <f>IF(AD99&lt;Lookups!$I$5,"Y","N")</f>
        <v>N</v>
      </c>
      <c r="K99" s="113" t="str">
        <f>IFERROR(IF(VLOOKUP(F99,Lookups!$A$2:$F$111,4,FALSE)="","",VLOOKUP(F99,Lookups!$A$2:$F$111,4,FALSE)),"")</f>
        <v>PCP</v>
      </c>
      <c r="L99" s="113" t="str">
        <f>IFERROR(IF(VLOOKUP(F99,Lookups!$A$2:$F$111,5,FALSE)="","",VLOOKUP(F99,Lookups!$A$2:$F$111,5,FALSE)),"")</f>
        <v>Buccaneers</v>
      </c>
      <c r="M99" s="114" t="str">
        <f>IFERROR(IF(VLOOKUP(F99,Lookups!$A$2:$F$111,6,FALSE)="","",VLOOKUP(F99,Lookups!$A$2:$F$111,6,FALSE)),"")</f>
        <v/>
      </c>
      <c r="N99" s="57" t="str">
        <f>IFERROR(IF(VLOOKUP(F99,Scores!$A$1:$I$99,2,FALSE)="","",VLOOKUP(F99,Scores!$A$1:$I$99,2,FALSE)),"")</f>
        <v/>
      </c>
      <c r="O99" s="58" t="str">
        <f>IFERROR(IF(VLOOKUP(F99,Scores!$A$1:$I$99,3,FALSE)="","",VLOOKUP(F99,Scores!$A$1:$I$99,3,FALSE)),"")</f>
        <v/>
      </c>
      <c r="P99" s="58" t="str">
        <f>IFERROR(IF(VLOOKUP(F99,Scores!$A$1:$I$99,4,FALSE)="","",VLOOKUP(F99,Scores!$A$1:$I$99,4,FALSE)),"")</f>
        <v/>
      </c>
      <c r="Q99" s="58" t="str">
        <f>IFERROR(IF(VLOOKUP(F99,Scores!$A$1:$I$99,5,FALSE)="","",VLOOKUP(F99,Scores!$A$1:$I$99,5,FALSE)),"")</f>
        <v/>
      </c>
      <c r="R99" s="58" t="str">
        <f>IFERROR(IF(VLOOKUP(F99,Scores!$A$1:$I$99,6,FALSE)="","",VLOOKUP(F99,Scores!$A$1:$I$99,6,FALSE)),"")</f>
        <v/>
      </c>
      <c r="S99" s="58" t="str">
        <f>IFERROR(IF(VLOOKUP(F99,Scores!$A$1:$I$99,7,FALSE)="","",VLOOKUP(F99,Scores!$A$1:$I$99,7,FALSE)),"")</f>
        <v/>
      </c>
      <c r="T99" s="58" t="str">
        <f>IFERROR(IF(VLOOKUP(F99,Scores!$A$1:$I$99,8,FALSE)="","",VLOOKUP(F99,Scores!$A$1:$I$99,8,FALSE)),"")</f>
        <v/>
      </c>
      <c r="U99" s="60" t="str">
        <f>IFERROR(IF(VLOOKUP(F99,Scores!$A$1:$I$99,9,FALSE)="","",VLOOKUP(F99,Scores!$A$1:$I$99,9,FALSE)),"")</f>
        <v/>
      </c>
      <c r="V99" s="54" t="str">
        <f t="shared" si="54"/>
        <v/>
      </c>
      <c r="W99" s="55" t="str">
        <f t="shared" si="55"/>
        <v/>
      </c>
      <c r="X99" s="55" t="str">
        <f t="shared" si="56"/>
        <v/>
      </c>
      <c r="Y99" s="55" t="str">
        <f t="shared" si="57"/>
        <v/>
      </c>
      <c r="Z99" s="55" t="str">
        <f t="shared" si="58"/>
        <v/>
      </c>
      <c r="AA99" s="55" t="str">
        <f t="shared" si="59"/>
        <v/>
      </c>
      <c r="AB99" s="55" t="str">
        <f t="shared" si="60"/>
        <v/>
      </c>
      <c r="AC99" s="56" t="str">
        <f t="shared" si="61"/>
        <v/>
      </c>
      <c r="AD99" s="79" t="str">
        <f t="shared" si="51"/>
        <v/>
      </c>
      <c r="AE99" s="59" t="str">
        <f t="shared" si="52"/>
        <v/>
      </c>
      <c r="AF99" s="55" t="str" cm="1">
        <f t="array" ref="AF99">IFERROR(IF(AD99&gt;Lookups!$I$5-1,AVERAGE(LARGE(V99:AC99,_xlfn.SEQUENCE(Lookups!$I$5))),AVERAGE(LARGE(V99:AC99,_xlfn.SEQUENCE(AD99)))),"")</f>
        <v/>
      </c>
      <c r="AG99" s="124" t="str">
        <f t="shared" si="53"/>
        <v/>
      </c>
      <c r="AH99" s="78" t="str">
        <f>IF(AD99=Lookups!$I$5+1,LARGE(V99:AC99,5),"")</f>
        <v/>
      </c>
      <c r="AI99" s="78" t="str">
        <f>IF(AD99=Lookups!$I$5+2,LARGE(V99:AC99,6),"")</f>
        <v/>
      </c>
      <c r="AJ99" s="78"/>
      <c r="AK99" s="78"/>
      <c r="AL99" s="140" t="str">
        <f t="shared" si="37"/>
        <v/>
      </c>
      <c r="AM99" s="134" t="str">
        <f>IF(OR(AD99=0,AD99=""),"",IF(COUNTIFS($AR$6:$AR$177,"&gt;"&amp;AR99)+COUNTIFS(AR$6:AR99,"="&amp;AR99)=0,"",COUNTIFS($AR$6:$AR$177,"&gt;"&amp;AR99)+COUNTIFS(AR$6:AR99,"="&amp;AR99)))</f>
        <v/>
      </c>
      <c r="AN99" s="134" t="str">
        <f>IFERROR(IF(OR(AD99=0,AD99=""),"",IF(COUNTIFS($AS$6:$AS$177,"&gt;"&amp;AS99)+COUNTIFS(AS$6:AS99,"="&amp;AS99)=0,"",COUNTIFS($AS$6:$AS$177,"&gt;"&amp;AS99)+COUNTIFS(AS$6:AS99,"="&amp;AS99)+$AM$5)),"")</f>
        <v/>
      </c>
      <c r="AO99" s="134" t="str">
        <f>IFERROR(IF(OR(AD99=0,AD99=""),"",IF(COUNTIFS($AT$6:$AT$177,"&gt;"&amp;AT99)+COUNTIFS(AT$6:AT99,"="&amp;AT99)=0,"",COUNTIFS($AT$6:$AT$177,"&gt;"&amp;AT99)+COUNTIFS(AT$6:AT99,"="&amp;AT99)+$AN$5)),"")</f>
        <v/>
      </c>
      <c r="AP99" s="134" t="str">
        <f>IFERROR(IF(OR(AD99=0,AD99=""),"",IF(COUNTIFS($AU$6:$AU$177,"&gt;"&amp;AU99)+COUNTIFS(AU$6:AU99,"="&amp;AU99)=0,"",COUNTIFS($AU$6:$AU$177,"&gt;"&amp;AU99)+COUNTIFS(AU$6:AU99,"="&amp;AU99)+$AO$5)),"")</f>
        <v/>
      </c>
      <c r="AQ99" s="134" t="str">
        <f>IFERROR(IF(OR(AD99=0,AD99=""),"",IF(COUNTIFS($AV$6:$AV$177,"&gt;"&amp;AV99)+COUNTIFS(AV$6:AV99,"="&amp;AV99)=0,"",COUNTIFS($AV$6:$AV$177,"&gt;"&amp;AV99)+COUNTIFS(AV$6:AV99,"="&amp;AV99)+$AP$5)),"")</f>
        <v/>
      </c>
      <c r="AR99" s="78" t="str">
        <f t="shared" si="38"/>
        <v/>
      </c>
      <c r="AS99" s="78" t="str">
        <f t="shared" si="39"/>
        <v/>
      </c>
      <c r="AT99" s="78" t="str">
        <f t="shared" si="40"/>
        <v/>
      </c>
      <c r="AU99" s="78" t="str">
        <f t="shared" si="41"/>
        <v/>
      </c>
      <c r="AV99" s="78" t="str">
        <f t="shared" si="42"/>
        <v/>
      </c>
    </row>
    <row r="100" spans="1:48" ht="15" x14ac:dyDescent="0.3">
      <c r="A100" t="str">
        <f>IF(AD100="","",COUNTIFS($H$6:$H$120,H100,$AF$6:$AF$120,"&gt;"&amp;AF100)+COUNTIFS(H100:$H$120,H100,AF100:$AF$120,AF100))</f>
        <v/>
      </c>
      <c r="C100" t="str">
        <f t="shared" si="36"/>
        <v/>
      </c>
      <c r="D100" t="str">
        <f>IF(AG100=0,"",IF(COUNTIFS($AG$6:$AG$177,"&gt;"&amp;AG100)+COUNTIFS(AG$6:AG100,"="&amp;AG100)=0,"",COUNTIFS($AG$6:$AG$177,"&gt;"&amp;AG100)+COUNTIFS(AG$6:AG100,"="&amp;AG100)))</f>
        <v/>
      </c>
      <c r="F100" s="17" t="s">
        <v>78</v>
      </c>
      <c r="G100" s="113" t="str">
        <f>IFERROR(IF(VLOOKUP(F100,Lookups!$A$2:$F$111,2,FALSE)="","",VLOOKUP(F100,Lookups!$A$2:$F$111,2,FALSE)),"")</f>
        <v/>
      </c>
      <c r="H100" s="113" t="str">
        <f>IFERROR(IF(VLOOKUP(F100,Lookups!$A$2:$F$111,3,FALSE)="","",VLOOKUP(F100,Lookups!$A$2:$F$111,3,FALSE)),"")</f>
        <v>U/G</v>
      </c>
      <c r="I100" s="113" t="str">
        <f>IFERROR(IF(AF100=0,"",VLOOKUP(AF100,Lookups!$K$2:$L$6,2,TRUE)),"")</f>
        <v/>
      </c>
      <c r="J100" s="113" t="str">
        <f>IF(AD100&lt;Lookups!$I$5,"Y","N")</f>
        <v>N</v>
      </c>
      <c r="K100" s="113" t="str">
        <f>IFERROR(IF(VLOOKUP(F100,Lookups!$A$2:$F$111,4,FALSE)="","",VLOOKUP(F100,Lookups!$A$2:$F$111,4,FALSE)),"")</f>
        <v>PCP</v>
      </c>
      <c r="L100" s="113" t="str">
        <f>IFERROR(IF(VLOOKUP(F100,Lookups!$A$2:$F$111,5,FALSE)="","",VLOOKUP(F100,Lookups!$A$2:$F$111,5,FALSE)),"")</f>
        <v/>
      </c>
      <c r="M100" s="114" t="str">
        <f>IFERROR(IF(VLOOKUP(F100,Lookups!$A$2:$F$111,6,FALSE)="","",VLOOKUP(F100,Lookups!$A$2:$F$111,6,FALSE)),"")</f>
        <v/>
      </c>
      <c r="N100" s="57" t="str">
        <f>IFERROR(IF(VLOOKUP(F100,Scores!$A$1:$I$99,2,FALSE)="","",VLOOKUP(F100,Scores!$A$1:$I$99,2,FALSE)),"")</f>
        <v/>
      </c>
      <c r="O100" s="58" t="str">
        <f>IFERROR(IF(VLOOKUP(F100,Scores!$A$1:$I$99,3,FALSE)="","",VLOOKUP(F100,Scores!$A$1:$I$99,3,FALSE)),"")</f>
        <v/>
      </c>
      <c r="P100" s="58" t="str">
        <f>IFERROR(IF(VLOOKUP(F100,Scores!$A$1:$I$99,4,FALSE)="","",VLOOKUP(F100,Scores!$A$1:$I$99,4,FALSE)),"")</f>
        <v/>
      </c>
      <c r="Q100" s="58" t="str">
        <f>IFERROR(IF(VLOOKUP(F100,Scores!$A$1:$I$99,5,FALSE)="","",VLOOKUP(F100,Scores!$A$1:$I$99,5,FALSE)),"")</f>
        <v/>
      </c>
      <c r="R100" s="58" t="str">
        <f>IFERROR(IF(VLOOKUP(F100,Scores!$A$1:$I$99,6,FALSE)="","",VLOOKUP(F100,Scores!$A$1:$I$99,6,FALSE)),"")</f>
        <v/>
      </c>
      <c r="S100" s="58" t="str">
        <f>IFERROR(IF(VLOOKUP(F100,Scores!$A$1:$I$99,7,FALSE)="","",VLOOKUP(F100,Scores!$A$1:$I$99,7,FALSE)),"")</f>
        <v/>
      </c>
      <c r="T100" s="58" t="str">
        <f>IFERROR(IF(VLOOKUP(F100,Scores!$A$1:$I$99,8,FALSE)="","",VLOOKUP(F100,Scores!$A$1:$I$99,8,FALSE)),"")</f>
        <v/>
      </c>
      <c r="U100" s="60" t="str">
        <f>IFERROR(IF(VLOOKUP(F100,Scores!$A$1:$I$99,9,FALSE)="","",VLOOKUP(F100,Scores!$A$1:$I$99,9,FALSE)),"")</f>
        <v/>
      </c>
      <c r="V100" s="54" t="str">
        <f t="shared" si="54"/>
        <v/>
      </c>
      <c r="W100" s="55" t="str">
        <f t="shared" si="55"/>
        <v/>
      </c>
      <c r="X100" s="55" t="str">
        <f t="shared" si="56"/>
        <v/>
      </c>
      <c r="Y100" s="55" t="str">
        <f t="shared" si="57"/>
        <v/>
      </c>
      <c r="Z100" s="55" t="str">
        <f t="shared" si="58"/>
        <v/>
      </c>
      <c r="AA100" s="55" t="str">
        <f t="shared" si="59"/>
        <v/>
      </c>
      <c r="AB100" s="55" t="str">
        <f t="shared" si="60"/>
        <v/>
      </c>
      <c r="AC100" s="56" t="str">
        <f t="shared" si="61"/>
        <v/>
      </c>
      <c r="AD100" s="79" t="str">
        <f t="shared" si="51"/>
        <v/>
      </c>
      <c r="AE100" s="59" t="str">
        <f t="shared" si="52"/>
        <v/>
      </c>
      <c r="AF100" s="55" t="str" cm="1">
        <f t="array" ref="AF100">IFERROR(IF(AD100&gt;Lookups!$I$5-1,AVERAGE(LARGE(V100:AC100,_xlfn.SEQUENCE(Lookups!$I$5))),AVERAGE(LARGE(V100:AC100,_xlfn.SEQUENCE(AD100)))),"")</f>
        <v/>
      </c>
      <c r="AG100" s="124" t="str">
        <f t="shared" si="53"/>
        <v/>
      </c>
      <c r="AH100" s="78" t="str">
        <f>IF(AD100=Lookups!$I$5+1,LARGE(V100:AC100,5),"")</f>
        <v/>
      </c>
      <c r="AI100" s="78" t="str">
        <f>IF(AD100=Lookups!$I$5+2,LARGE(V100:AC100,6),"")</f>
        <v/>
      </c>
      <c r="AJ100" s="78"/>
      <c r="AK100" s="78"/>
      <c r="AL100" s="140" t="str">
        <f t="shared" si="37"/>
        <v/>
      </c>
      <c r="AM100" s="134" t="str">
        <f>IF(OR(AD100=0,AD100=""),"",IF(COUNTIFS($AR$6:$AR$177,"&gt;"&amp;AR100)+COUNTIFS(AR$6:AR100,"="&amp;AR100)=0,"",COUNTIFS($AR$6:$AR$177,"&gt;"&amp;AR100)+COUNTIFS(AR$6:AR100,"="&amp;AR100)))</f>
        <v/>
      </c>
      <c r="AN100" s="134" t="str">
        <f>IFERROR(IF(OR(AD100=0,AD100=""),"",IF(COUNTIFS($AS$6:$AS$177,"&gt;"&amp;AS100)+COUNTIFS(AS$6:AS100,"="&amp;AS100)=0,"",COUNTIFS($AS$6:$AS$177,"&gt;"&amp;AS100)+COUNTIFS(AS$6:AS100,"="&amp;AS100)+$AM$5)),"")</f>
        <v/>
      </c>
      <c r="AO100" s="134" t="str">
        <f>IFERROR(IF(OR(AD100=0,AD100=""),"",IF(COUNTIFS($AT$6:$AT$177,"&gt;"&amp;AT100)+COUNTIFS(AT$6:AT100,"="&amp;AT100)=0,"",COUNTIFS($AT$6:$AT$177,"&gt;"&amp;AT100)+COUNTIFS(AT$6:AT100,"="&amp;AT100)+$AN$5)),"")</f>
        <v/>
      </c>
      <c r="AP100" s="134" t="str">
        <f>IFERROR(IF(OR(AD100=0,AD100=""),"",IF(COUNTIFS($AU$6:$AU$177,"&gt;"&amp;AU100)+COUNTIFS(AU$6:AU100,"="&amp;AU100)=0,"",COUNTIFS($AU$6:$AU$177,"&gt;"&amp;AU100)+COUNTIFS(AU$6:AU100,"="&amp;AU100)+$AO$5)),"")</f>
        <v/>
      </c>
      <c r="AQ100" s="134" t="str">
        <f>IFERROR(IF(OR(AD100=0,AD100=""),"",IF(COUNTIFS($AV$6:$AV$177,"&gt;"&amp;AV100)+COUNTIFS(AV$6:AV100,"="&amp;AV100)=0,"",COUNTIFS($AV$6:$AV$177,"&gt;"&amp;AV100)+COUNTIFS(AV$6:AV100,"="&amp;AV100)+$AP$5)),"")</f>
        <v/>
      </c>
      <c r="AR100" s="78" t="str">
        <f t="shared" si="38"/>
        <v/>
      </c>
      <c r="AS100" s="78" t="str">
        <f t="shared" si="39"/>
        <v/>
      </c>
      <c r="AT100" s="78" t="str">
        <f t="shared" si="40"/>
        <v/>
      </c>
      <c r="AU100" s="78" t="str">
        <f t="shared" si="41"/>
        <v/>
      </c>
      <c r="AV100" s="78" t="str">
        <f t="shared" si="42"/>
        <v/>
      </c>
    </row>
    <row r="101" spans="1:48" ht="16.5" customHeight="1" x14ac:dyDescent="0.3">
      <c r="A101">
        <f>IF(AD101="","",COUNTIFS($H$6:$H$120,H101,$AF$6:$AF$120,"&gt;"&amp;AF101)+COUNTIFS(H101:$H$120,H101,AF101:$AF$120,AF101))</f>
        <v>4</v>
      </c>
      <c r="C101">
        <f t="shared" si="36"/>
        <v>40</v>
      </c>
      <c r="D101">
        <f>IF(AG101=0,"",IF(COUNTIFS($AG$6:$AG$177,"&gt;"&amp;AG101)+COUNTIFS(AG$6:AG101,"="&amp;AG101)=0,"",COUNTIFS($AG$6:$AG$177,"&gt;"&amp;AG101)+COUNTIFS(AG$6:AG101,"="&amp;AG101)))</f>
        <v>42</v>
      </c>
      <c r="F101" s="19" t="s">
        <v>77</v>
      </c>
      <c r="G101" s="113" t="str">
        <f>IFERROR(IF(VLOOKUP(F101,Lookups!$A$2:$F$111,2,FALSE)="","",VLOOKUP(F101,Lookups!$A$2:$F$111,2,FALSE)),"")</f>
        <v/>
      </c>
      <c r="H101" s="113" t="str">
        <f>IFERROR(IF(VLOOKUP(F101,Lookups!$A$2:$F$111,3,FALSE)="","",VLOOKUP(F101,Lookups!$A$2:$F$111,3,FALSE)),"")</f>
        <v>U/G</v>
      </c>
      <c r="I101" s="113" t="str">
        <f>IFERROR(IF(AF101=0,"",VLOOKUP(AF101,Lookups!$K$2:$L$6,2,TRUE)),"")</f>
        <v>A</v>
      </c>
      <c r="J101" s="113" t="str">
        <f>IF(AD101&lt;Lookups!$I$5,"Y","N")</f>
        <v>Y</v>
      </c>
      <c r="K101" s="113" t="str">
        <f>IFERROR(IF(VLOOKUP(F101,Lookups!$A$2:$F$111,4,FALSE)="","",VLOOKUP(F101,Lookups!$A$2:$F$111,4,FALSE)),"")</f>
        <v>PCP</v>
      </c>
      <c r="L101" s="113" t="str">
        <f>IFERROR(IF(VLOOKUP(F101,Lookups!$A$2:$F$111,5,FALSE)="","",VLOOKUP(F101,Lookups!$A$2:$F$111,5,FALSE)),"")</f>
        <v>Buccaneers</v>
      </c>
      <c r="M101" s="114" t="str">
        <f>IFERROR(IF(VLOOKUP(F101,Lookups!$A$2:$F$111,6,FALSE)="","",VLOOKUP(F101,Lookups!$A$2:$F$111,6,FALSE)),"")</f>
        <v/>
      </c>
      <c r="N101" s="57" t="str">
        <f>IFERROR(IF(VLOOKUP(F101,Scores!$A$1:$I$99,2,FALSE)="","",VLOOKUP(F101,Scores!$A$1:$I$99,2,FALSE)),"")</f>
        <v/>
      </c>
      <c r="O101" s="58" t="str">
        <f>IFERROR(IF(VLOOKUP(F101,Scores!$A$1:$I$99,3,FALSE)="","",VLOOKUP(F101,Scores!$A$1:$I$99,3,FALSE)),"")</f>
        <v/>
      </c>
      <c r="P101" s="58">
        <f>IFERROR(IF(VLOOKUP(F101,Scores!$A$1:$I$99,4,FALSE)="","",VLOOKUP(F101,Scores!$A$1:$I$99,4,FALSE)),"")</f>
        <v>29</v>
      </c>
      <c r="Q101" s="58" t="str">
        <f>IFERROR(IF(VLOOKUP(F101,Scores!$A$1:$I$99,5,FALSE)="","",VLOOKUP(F101,Scores!$A$1:$I$99,5,FALSE)),"")</f>
        <v/>
      </c>
      <c r="R101" s="58" t="str">
        <f>IFERROR(IF(VLOOKUP(F101,Scores!$A$1:$I$99,6,FALSE)="","",VLOOKUP(F101,Scores!$A$1:$I$99,6,FALSE)),"")</f>
        <v/>
      </c>
      <c r="S101" s="58" t="str">
        <f>IFERROR(IF(VLOOKUP(F101,Scores!$A$1:$I$99,7,FALSE)="","",VLOOKUP(F101,Scores!$A$1:$I$99,7,FALSE)),"")</f>
        <v/>
      </c>
      <c r="T101" s="58" t="str">
        <f>IFERROR(IF(VLOOKUP(F101,Scores!$A$1:$I$99,8,FALSE)="","",VLOOKUP(F101,Scores!$A$1:$I$99,8,FALSE)),"")</f>
        <v/>
      </c>
      <c r="U101" s="60" t="str">
        <f>IFERROR(IF(VLOOKUP(F101,Scores!$A$1:$I$99,9,FALSE)="","",VLOOKUP(F101,Scores!$A$1:$I$99,9,FALSE)),"")</f>
        <v/>
      </c>
      <c r="V101" s="54" t="str">
        <f t="shared" si="54"/>
        <v/>
      </c>
      <c r="W101" s="55" t="str">
        <f t="shared" si="55"/>
        <v/>
      </c>
      <c r="X101" s="55">
        <f t="shared" si="56"/>
        <v>0.78378378378378377</v>
      </c>
      <c r="Y101" s="55" t="str">
        <f t="shared" si="57"/>
        <v/>
      </c>
      <c r="Z101" s="55" t="str">
        <f t="shared" si="58"/>
        <v/>
      </c>
      <c r="AA101" s="55" t="str">
        <f t="shared" si="59"/>
        <v/>
      </c>
      <c r="AB101" s="55" t="str">
        <f t="shared" si="60"/>
        <v/>
      </c>
      <c r="AC101" s="56" t="str">
        <f t="shared" si="61"/>
        <v/>
      </c>
      <c r="AD101" s="79">
        <f t="shared" si="51"/>
        <v>1</v>
      </c>
      <c r="AE101" s="59">
        <f t="shared" si="52"/>
        <v>0.78378378378378377</v>
      </c>
      <c r="AF101" s="55" cm="1">
        <f t="array" ref="AF101">IFERROR(IF(AD101&gt;Lookups!$I$5-1,AVERAGE(LARGE(V101:AC101,_xlfn.SEQUENCE(Lookups!$I$5))),AVERAGE(LARGE(V101:AC101,_xlfn.SEQUENCE(AD101)))),"")</f>
        <v>0.78378378378378377</v>
      </c>
      <c r="AG101" s="124">
        <f t="shared" si="53"/>
        <v>29</v>
      </c>
      <c r="AH101" s="78" t="str">
        <f>IF(AD101=Lookups!$I$5+1,LARGE(V101:AC101,5),"")</f>
        <v/>
      </c>
      <c r="AI101" s="78" t="str">
        <f>IF(AD101=Lookups!$I$5+2,LARGE(V101:AC101,6),"")</f>
        <v/>
      </c>
      <c r="AJ101" s="78"/>
      <c r="AK101" s="78"/>
      <c r="AL101" s="140">
        <f t="shared" si="37"/>
        <v>40</v>
      </c>
      <c r="AM101" s="134" t="str">
        <f>IF(OR(AD101=0,AD101=""),"",IF(COUNTIFS($AR$6:$AR$177,"&gt;"&amp;AR101)+COUNTIFS(AR$6:AR101,"="&amp;AR101)=0,"",COUNTIFS($AR$6:$AR$177,"&gt;"&amp;AR101)+COUNTIFS(AR$6:AR101,"="&amp;AR101)))</f>
        <v/>
      </c>
      <c r="AN101" s="134" t="str">
        <f>IFERROR(IF(OR(AD101=0,AD101=""),"",IF(COUNTIFS($AS$6:$AS$177,"&gt;"&amp;AS101)+COUNTIFS(AS$6:AS101,"="&amp;AS101)=0,"",COUNTIFS($AS$6:$AS$177,"&gt;"&amp;AS101)+COUNTIFS(AS$6:AS101,"="&amp;AS101)+$AM$5)),"")</f>
        <v/>
      </c>
      <c r="AO101" s="134" t="str">
        <f>IFERROR(IF(OR(AD101=0,AD101=""),"",IF(COUNTIFS($AT$6:$AT$177,"&gt;"&amp;AT101)+COUNTIFS(AT$6:AT101,"="&amp;AT101)=0,"",COUNTIFS($AT$6:$AT$177,"&gt;"&amp;AT101)+COUNTIFS(AT$6:AT101,"="&amp;AT101)+$AN$5)),"")</f>
        <v/>
      </c>
      <c r="AP101" s="134">
        <f>IFERROR(IF(OR(AD101=0,AD101=""),"",IF(COUNTIFS($AU$6:$AU$177,"&gt;"&amp;AU101)+COUNTIFS(AU$6:AU101,"="&amp;AU101)=0,"",COUNTIFS($AU$6:$AU$177,"&gt;"&amp;AU101)+COUNTIFS(AU$6:AU101,"="&amp;AU101)+$AO$5)),"")</f>
        <v>40</v>
      </c>
      <c r="AQ101" s="134" t="str">
        <f>IFERROR(IF(OR(AD101=0,AD101=""),"",IF(COUNTIFS($AV$6:$AV$177,"&gt;"&amp;AV101)+COUNTIFS(AV$6:AV101,"="&amp;AV101)=0,"",COUNTIFS($AV$6:$AV$177,"&gt;"&amp;AV101)+COUNTIFS(AV$6:AV101,"="&amp;AV101)+$AP$5)),"")</f>
        <v/>
      </c>
      <c r="AR101" s="78" t="str">
        <f t="shared" si="38"/>
        <v/>
      </c>
      <c r="AS101" s="78" t="str">
        <f t="shared" si="39"/>
        <v/>
      </c>
      <c r="AT101" s="78" t="str">
        <f t="shared" si="40"/>
        <v/>
      </c>
      <c r="AU101" s="78">
        <f t="shared" si="41"/>
        <v>0.78378378378378377</v>
      </c>
      <c r="AV101" s="78" t="str">
        <f t="shared" si="42"/>
        <v/>
      </c>
    </row>
    <row r="102" spans="1:48" ht="16.5" customHeight="1" x14ac:dyDescent="0.3">
      <c r="A102">
        <f>IF(AD102="","",COUNTIFS($H$6:$H$120,H102,$AF$6:$AF$120,"&gt;"&amp;AF102)+COUNTIFS(H102:$H$120,H102,AF102:$AF$120,AF102))</f>
        <v>8</v>
      </c>
      <c r="C102">
        <f t="shared" si="36"/>
        <v>47</v>
      </c>
      <c r="D102">
        <f>IF(AG102=0,"",IF(COUNTIFS($AG$6:$AG$177,"&gt;"&amp;AG102)+COUNTIFS(AG$6:AG102,"="&amp;AG102)=0,"",COUNTIFS($AG$6:$AG$177,"&gt;"&amp;AG102)+COUNTIFS(AG$6:AG102,"="&amp;AG102)))</f>
        <v>49</v>
      </c>
      <c r="F102" s="19" t="s">
        <v>99</v>
      </c>
      <c r="G102" s="113">
        <f>IFERROR(IF(VLOOKUP(F102,Lookups!$A$2:$F$111,2,FALSE)="","",VLOOKUP(F102,Lookups!$A$2:$F$111,2,FALSE)),"")</f>
        <v>1827</v>
      </c>
      <c r="H102" s="113" t="str">
        <f>IFERROR(IF(VLOOKUP(F102,Lookups!$A$2:$F$111,3,FALSE)="","",VLOOKUP(F102,Lookups!$A$2:$F$111,3,FALSE)),"")</f>
        <v>U/G</v>
      </c>
      <c r="I102" s="113" t="str">
        <f>IFERROR(IF(AF102=0,"",VLOOKUP(AF102,Lookups!$K$2:$L$6,2,TRUE)),"")</f>
        <v>C</v>
      </c>
      <c r="J102" s="113" t="str">
        <f>IF(AD102&lt;Lookups!$I$5,"Y","N")</f>
        <v>Y</v>
      </c>
      <c r="K102" s="113" t="str">
        <f>IFERROR(IF(VLOOKUP(F102,Lookups!$A$2:$F$111,4,FALSE)="","",VLOOKUP(F102,Lookups!$A$2:$F$111,4,FALSE)),"")</f>
        <v>PCP</v>
      </c>
      <c r="L102" s="113" t="str">
        <f>IFERROR(IF(VLOOKUP(F102,Lookups!$A$2:$F$111,5,FALSE)="","",VLOOKUP(F102,Lookups!$A$2:$F$111,5,FALSE)),"")</f>
        <v>Newbury</v>
      </c>
      <c r="M102" s="114" t="str">
        <f>IFERROR(IF(VLOOKUP(F102,Lookups!$A$2:$F$111,6,FALSE)="","",VLOOKUP(F102,Lookups!$A$2:$F$111,6,FALSE)),"")</f>
        <v/>
      </c>
      <c r="N102" s="57" t="str">
        <f>IFERROR(IF(VLOOKUP(F102,Scores!$A$1:$I$99,2,FALSE)="","",VLOOKUP(F102,Scores!$A$1:$I$99,2,FALSE)),"")</f>
        <v/>
      </c>
      <c r="O102" s="58" t="str">
        <f>IFERROR(IF(VLOOKUP(F102,Scores!$A$1:$I$99,3,FALSE)="","",VLOOKUP(F102,Scores!$A$1:$I$99,3,FALSE)),"")</f>
        <v/>
      </c>
      <c r="P102" s="58" t="str">
        <f>IFERROR(IF(VLOOKUP(F102,Scores!$A$1:$I$99,4,FALSE)="","",VLOOKUP(F102,Scores!$A$1:$I$99,4,FALSE)),"")</f>
        <v/>
      </c>
      <c r="Q102" s="58">
        <f>IFERROR(IF(VLOOKUP(F102,Scores!$A$1:$I$99,5,FALSE)="","",VLOOKUP(F102,Scores!$A$1:$I$99,5,FALSE)),"")</f>
        <v>15</v>
      </c>
      <c r="R102" s="58" t="str">
        <f>IFERROR(IF(VLOOKUP(F102,Scores!$A$1:$I$99,6,FALSE)="","",VLOOKUP(F102,Scores!$A$1:$I$99,6,FALSE)),"")</f>
        <v/>
      </c>
      <c r="S102" s="58" t="str">
        <f>IFERROR(IF(VLOOKUP(F102,Scores!$A$1:$I$99,7,FALSE)="","",VLOOKUP(F102,Scores!$A$1:$I$99,7,FALSE)),"")</f>
        <v/>
      </c>
      <c r="T102" s="58" t="str">
        <f>IFERROR(IF(VLOOKUP(F102,Scores!$A$1:$I$99,8,FALSE)="","",VLOOKUP(F102,Scores!$A$1:$I$99,8,FALSE)),"")</f>
        <v/>
      </c>
      <c r="U102" s="60" t="str">
        <f>IFERROR(IF(VLOOKUP(F102,Scores!$A$1:$I$99,9,FALSE)="","",VLOOKUP(F102,Scores!$A$1:$I$99,9,FALSE)),"")</f>
        <v/>
      </c>
      <c r="V102" s="54" t="str">
        <f t="shared" si="54"/>
        <v/>
      </c>
      <c r="W102" s="55" t="str">
        <f t="shared" si="55"/>
        <v/>
      </c>
      <c r="X102" s="55" t="str">
        <f t="shared" si="56"/>
        <v/>
      </c>
      <c r="Y102" s="55">
        <f t="shared" si="57"/>
        <v>0.41666666666666669</v>
      </c>
      <c r="Z102" s="55" t="str">
        <f t="shared" si="58"/>
        <v/>
      </c>
      <c r="AA102" s="55" t="str">
        <f t="shared" si="59"/>
        <v/>
      </c>
      <c r="AB102" s="55" t="str">
        <f t="shared" si="60"/>
        <v/>
      </c>
      <c r="AC102" s="56" t="str">
        <f t="shared" si="61"/>
        <v/>
      </c>
      <c r="AD102" s="79">
        <f t="shared" si="51"/>
        <v>1</v>
      </c>
      <c r="AE102" s="59">
        <f t="shared" si="52"/>
        <v>0.41666666666666669</v>
      </c>
      <c r="AF102" s="55" cm="1">
        <f t="array" ref="AF102">IFERROR(IF(AD102&gt;Lookups!$I$5-1,AVERAGE(LARGE(V102:AC102,_xlfn.SEQUENCE(Lookups!$I$5))),AVERAGE(LARGE(V102:AC102,_xlfn.SEQUENCE(AD102)))),"")</f>
        <v>0.41666666666666669</v>
      </c>
      <c r="AG102" s="124">
        <f t="shared" si="53"/>
        <v>15</v>
      </c>
      <c r="AH102" s="78" t="str">
        <f>IF(AD102=Lookups!$I$5+1,LARGE(V102:AC102,5),"")</f>
        <v/>
      </c>
      <c r="AI102" s="78" t="str">
        <f>IF(AD102=Lookups!$I$5+2,LARGE(V102:AC102,6),"")</f>
        <v/>
      </c>
      <c r="AJ102" s="78"/>
      <c r="AK102" s="78"/>
      <c r="AL102" s="140">
        <f t="shared" si="37"/>
        <v>47</v>
      </c>
      <c r="AM102" s="134" t="str">
        <f>IF(OR(AD102=0,AD102=""),"",IF(COUNTIFS($AR$6:$AR$177,"&gt;"&amp;AR102)+COUNTIFS(AR$6:AR102,"="&amp;AR102)=0,"",COUNTIFS($AR$6:$AR$177,"&gt;"&amp;AR102)+COUNTIFS(AR$6:AR102,"="&amp;AR102)))</f>
        <v/>
      </c>
      <c r="AN102" s="134" t="str">
        <f>IFERROR(IF(OR(AD102=0,AD102=""),"",IF(COUNTIFS($AS$6:$AS$177,"&gt;"&amp;AS102)+COUNTIFS(AS$6:AS102,"="&amp;AS102)=0,"",COUNTIFS($AS$6:$AS$177,"&gt;"&amp;AS102)+COUNTIFS(AS$6:AS102,"="&amp;AS102)+$AM$5)),"")</f>
        <v/>
      </c>
      <c r="AO102" s="134" t="str">
        <f>IFERROR(IF(OR(AD102=0,AD102=""),"",IF(COUNTIFS($AT$6:$AT$177,"&gt;"&amp;AT102)+COUNTIFS(AT$6:AT102,"="&amp;AT102)=0,"",COUNTIFS($AT$6:$AT$177,"&gt;"&amp;AT102)+COUNTIFS(AT$6:AT102,"="&amp;AT102)+$AN$5)),"")</f>
        <v/>
      </c>
      <c r="AP102" s="134">
        <f>IFERROR(IF(OR(AD102=0,AD102=""),"",IF(COUNTIFS($AU$6:$AU$177,"&gt;"&amp;AU102)+COUNTIFS(AU$6:AU102,"="&amp;AU102)=0,"",COUNTIFS($AU$6:$AU$177,"&gt;"&amp;AU102)+COUNTIFS(AU$6:AU102,"="&amp;AU102)+$AO$5)),"")</f>
        <v>47</v>
      </c>
      <c r="AQ102" s="134" t="str">
        <f>IFERROR(IF(OR(AD102=0,AD102=""),"",IF(COUNTIFS($AV$6:$AV$177,"&gt;"&amp;AV102)+COUNTIFS(AV$6:AV102,"="&amp;AV102)=0,"",COUNTIFS($AV$6:$AV$177,"&gt;"&amp;AV102)+COUNTIFS(AV$6:AV102,"="&amp;AV102)+$AP$5)),"")</f>
        <v/>
      </c>
      <c r="AR102" s="78" t="str">
        <f t="shared" si="38"/>
        <v/>
      </c>
      <c r="AS102" s="78" t="str">
        <f t="shared" si="39"/>
        <v/>
      </c>
      <c r="AT102" s="78" t="str">
        <f t="shared" si="40"/>
        <v/>
      </c>
      <c r="AU102" s="78">
        <f t="shared" si="41"/>
        <v>0.41666666666666669</v>
      </c>
      <c r="AV102" s="78" t="str">
        <f t="shared" si="42"/>
        <v/>
      </c>
    </row>
    <row r="103" spans="1:48" ht="16.5" customHeight="1" x14ac:dyDescent="0.3">
      <c r="A103">
        <f>IF(AD103="","",COUNTIFS($H$6:$H$120,H103,$AF$6:$AF$120,"&gt;"&amp;AF103)+COUNTIFS(H103:$H$120,H103,AF103:$AF$120,AF103))</f>
        <v>3</v>
      </c>
      <c r="C103">
        <f t="shared" si="36"/>
        <v>0</v>
      </c>
      <c r="D103">
        <f>IF(AG103=0,"",IF(COUNTIFS($AG$6:$AG$177,"&gt;"&amp;AG103)+COUNTIFS(AG$6:AG103,"="&amp;AG103)=0,"",COUNTIFS($AG$6:$AG$177,"&gt;"&amp;AG103)+COUNTIFS(AG$6:AG103,"="&amp;AG103)))</f>
        <v>41</v>
      </c>
      <c r="F103" s="19" t="s">
        <v>48</v>
      </c>
      <c r="G103" s="113">
        <f>IFERROR(IF(VLOOKUP(F103,Lookups!$A$2:$F$111,2,FALSE)="","",VLOOKUP(F103,Lookups!$A$2:$F$111,2,FALSE)),"")</f>
        <v>60627</v>
      </c>
      <c r="H103" s="113" t="str">
        <f>IFERROR(IF(VLOOKUP(F103,Lookups!$A$2:$F$111,3,FALSE)="","",VLOOKUP(F103,Lookups!$A$2:$F$111,3,FALSE)),"")</f>
        <v>U/G</v>
      </c>
      <c r="I103" s="113" t="str">
        <f>IFERROR(IF(AF103=0,"",VLOOKUP(AF103,Lookups!$K$2:$L$6,2,TRUE)),"")</f>
        <v>A</v>
      </c>
      <c r="J103" s="113" t="str">
        <f>IF(AD103&lt;Lookups!$I$5,"Y","N")</f>
        <v>Y</v>
      </c>
      <c r="K103" s="113" t="str">
        <f>IFERROR(IF(VLOOKUP(F103,Lookups!$A$2:$F$111,4,FALSE)="","",VLOOKUP(F103,Lookups!$A$2:$F$111,4,FALSE)),"")</f>
        <v>PCP</v>
      </c>
      <c r="L103" s="113" t="str">
        <f>IFERROR(IF(VLOOKUP(F103,Lookups!$A$2:$F$111,5,FALSE)="","",VLOOKUP(F103,Lookups!$A$2:$F$111,5,FALSE)),"")</f>
        <v>Frobury</v>
      </c>
      <c r="M103" s="114"/>
      <c r="N103" s="57"/>
      <c r="O103" s="58"/>
      <c r="P103" s="58"/>
      <c r="Q103" s="58"/>
      <c r="R103" s="58"/>
      <c r="S103" s="58">
        <f>IFERROR(IF(VLOOKUP(F103,Scores!$A$1:$I$99,7,FALSE)="","",VLOOKUP(F103,Scores!$A$1:$I$99,7,FALSE)),"")</f>
        <v>30</v>
      </c>
      <c r="T103" s="58"/>
      <c r="U103" s="60"/>
      <c r="V103" s="54"/>
      <c r="W103" s="55"/>
      <c r="X103" s="55"/>
      <c r="Y103" s="55"/>
      <c r="Z103" s="55"/>
      <c r="AA103" s="55">
        <f t="shared" si="59"/>
        <v>0.81081081081081086</v>
      </c>
      <c r="AB103" s="55"/>
      <c r="AC103" s="56"/>
      <c r="AD103" s="79">
        <f t="shared" si="51"/>
        <v>1</v>
      </c>
      <c r="AE103" s="59">
        <f t="shared" si="52"/>
        <v>0.81081081081081086</v>
      </c>
      <c r="AF103" s="55" cm="1">
        <f t="array" ref="AF103">IFERROR(IF(AD103&gt;Lookups!$I$5-1,AVERAGE(LARGE(V103:AC103,_xlfn.SEQUENCE(Lookups!$I$5))),AVERAGE(LARGE(V103:AC103,_xlfn.SEQUENCE(AD103)))),"")</f>
        <v>0.81081081081081086</v>
      </c>
      <c r="AG103" s="124">
        <f t="shared" si="53"/>
        <v>30</v>
      </c>
      <c r="AH103" s="78"/>
      <c r="AI103" s="78"/>
      <c r="AJ103" s="78"/>
      <c r="AK103" s="78"/>
      <c r="AL103" s="140"/>
      <c r="AM103" s="134"/>
      <c r="AN103" s="134"/>
      <c r="AO103" s="134"/>
      <c r="AP103" s="134"/>
      <c r="AQ103" s="134"/>
      <c r="AR103" s="78"/>
      <c r="AS103" s="78"/>
      <c r="AT103" s="78"/>
      <c r="AU103" s="78"/>
      <c r="AV103" s="78"/>
    </row>
    <row r="104" spans="1:48" ht="16.5" customHeight="1" x14ac:dyDescent="0.3">
      <c r="A104">
        <f>IF(AD104="","",COUNTIFS($H$6:$H$120,H104,$AF$6:$AF$120,"&gt;"&amp;AF104)+COUNTIFS(H104:$H$120,H104,AF104:$AF$120,AF104))</f>
        <v>5</v>
      </c>
      <c r="C104">
        <f t="shared" si="36"/>
        <v>106</v>
      </c>
      <c r="D104">
        <f>IF(AG104=0,"",IF(COUNTIFS($AG$6:$AG$177,"&gt;"&amp;AG104)+COUNTIFS(AG$6:AG104,"="&amp;AG104)=0,"",COUNTIFS($AG$6:$AG$177,"&gt;"&amp;AG104)+COUNTIFS(AG$6:AG104,"="&amp;AG104)))</f>
        <v>43</v>
      </c>
      <c r="F104" s="19" t="s">
        <v>87</v>
      </c>
      <c r="G104" s="113">
        <f>IFERROR(IF(VLOOKUP(F104,Lookups!$A$2:$F$111,2,FALSE)="","",VLOOKUP(F104,Lookups!$A$2:$F$111,2,FALSE)),"")</f>
        <v>60633</v>
      </c>
      <c r="H104" s="113" t="str">
        <f>IFERROR(IF(VLOOKUP(F104,Lookups!$A$2:$F$111,3,FALSE)="","",VLOOKUP(F104,Lookups!$A$2:$F$111,3,FALSE)),"")</f>
        <v>U/G</v>
      </c>
      <c r="I104" s="113" t="str">
        <f>IFERROR(IF(AF104=0,"",VLOOKUP(AF104,Lookups!$K$2:$L$6,2,TRUE)),"")</f>
        <v>B</v>
      </c>
      <c r="J104" s="113" t="str">
        <f>IF(AD104&lt;Lookups!$I$5,"Y","N")</f>
        <v>Y</v>
      </c>
      <c r="K104" s="113" t="str">
        <f>IFERROR(IF(VLOOKUP(F104,Lookups!$A$2:$F$111,4,FALSE)="","",VLOOKUP(F104,Lookups!$A$2:$F$111,4,FALSE)),"")</f>
        <v>PCP</v>
      </c>
      <c r="L104" s="113" t="str">
        <f>IFERROR(IF(VLOOKUP(F104,Lookups!$A$2:$F$111,5,FALSE)="","",VLOOKUP(F104,Lookups!$A$2:$F$111,5,FALSE)),"")</f>
        <v>Frobury</v>
      </c>
      <c r="M104" s="114" t="str">
        <f>IFERROR(IF(VLOOKUP(F104,Lookups!$A$2:$F$111,6,FALSE)="","",VLOOKUP(F104,Lookups!$A$2:$F$111,6,FALSE)),"")</f>
        <v/>
      </c>
      <c r="N104" s="57" t="str">
        <f>IFERROR(IF(VLOOKUP(F104,Scores!$A$1:$I$99,2,FALSE)="","",VLOOKUP(F104,Scores!$A$1:$I$99,2,FALSE)),"")</f>
        <v/>
      </c>
      <c r="O104" s="58" t="str">
        <f>IFERROR(IF(VLOOKUP(F104,Scores!$A$1:$I$99,3,FALSE)="","",VLOOKUP(F104,Scores!$A$1:$I$99,3,FALSE)),"")</f>
        <v/>
      </c>
      <c r="P104" s="58" t="str">
        <f>IFERROR(IF(VLOOKUP(F104,Scores!$A$1:$I$99,4,FALSE)="","",VLOOKUP(F104,Scores!$A$1:$I$99,4,FALSE)),"")</f>
        <v/>
      </c>
      <c r="Q104" s="58" t="str">
        <f>IFERROR(IF(VLOOKUP(F104,Scores!$A$1:$I$99,5,FALSE)="","",VLOOKUP(F104,Scores!$A$1:$I$99,5,FALSE)),"")</f>
        <v/>
      </c>
      <c r="R104" s="58" t="str">
        <f>IFERROR(IF(VLOOKUP(F104,Scores!$A$1:$I$99,6,FALSE)="","",VLOOKUP(F104,Scores!$A$1:$I$99,6,FALSE)),"")</f>
        <v/>
      </c>
      <c r="S104" s="58">
        <f>IFERROR(IF(VLOOKUP(F104,Scores!$A$1:$I$99,7,FALSE)="","",VLOOKUP(F104,Scores!$A$1:$I$99,7,FALSE)),"")</f>
        <v>28</v>
      </c>
      <c r="T104" s="58" t="str">
        <f>IFERROR(IF(VLOOKUP(F104,Scores!$A$1:$I$99,8,FALSE)="","",VLOOKUP(F104,Scores!$A$1:$I$99,8,FALSE)),"")</f>
        <v/>
      </c>
      <c r="U104" s="60" t="str">
        <f>IFERROR(IF(VLOOKUP(F104,Scores!$A$1:$I$99,9,FALSE)="","",VLOOKUP(F104,Scores!$A$1:$I$99,9,FALSE)),"")</f>
        <v/>
      </c>
      <c r="V104" s="54" t="str">
        <f t="shared" si="54"/>
        <v/>
      </c>
      <c r="W104" s="55" t="str">
        <f t="shared" si="55"/>
        <v/>
      </c>
      <c r="X104" s="55" t="str">
        <f t="shared" si="56"/>
        <v/>
      </c>
      <c r="Y104" s="55" t="str">
        <f t="shared" si="57"/>
        <v/>
      </c>
      <c r="Z104" s="55" t="str">
        <f t="shared" si="58"/>
        <v/>
      </c>
      <c r="AA104" s="55">
        <f t="shared" si="59"/>
        <v>0.7567567567567568</v>
      </c>
      <c r="AB104" s="55" t="str">
        <f t="shared" si="60"/>
        <v/>
      </c>
      <c r="AC104" s="56" t="str">
        <f t="shared" si="61"/>
        <v/>
      </c>
      <c r="AD104" s="79">
        <f t="shared" si="51"/>
        <v>1</v>
      </c>
      <c r="AE104" s="59">
        <f t="shared" si="52"/>
        <v>0.7567567567567568</v>
      </c>
      <c r="AF104" s="55" cm="1">
        <f t="array" ref="AF104">IFERROR(IF(AD104&gt;Lookups!$I$5-1,AVERAGE(LARGE(V104:AC104,_xlfn.SEQUENCE(Lookups!$I$5))),AVERAGE(LARGE(V104:AC104,_xlfn.SEQUENCE(AD104)))),"")</f>
        <v>0.7567567567567568</v>
      </c>
      <c r="AG104" s="124">
        <f t="shared" si="53"/>
        <v>28</v>
      </c>
      <c r="AH104" s="78" t="str">
        <f>IF(AD104=Lookups!$I$5+1,LARGE(V104:AC104,5),"")</f>
        <v/>
      </c>
      <c r="AI104" s="78" t="str">
        <f>IF(AD104=Lookups!$I$5+2,LARGE(V104:AC104,6),"")</f>
        <v/>
      </c>
      <c r="AJ104" s="78"/>
      <c r="AK104" s="78"/>
      <c r="AL104" s="140">
        <f t="shared" si="37"/>
        <v>106</v>
      </c>
      <c r="AM104" s="134">
        <f>IF(OR(AD104=0,AD104=""),"",IF(COUNTIFS($AR$6:$AR$177,"&gt;"&amp;AR104)+COUNTIFS(AR$6:AR104,"="&amp;AR104)=0,"",COUNTIFS($AR$6:$AR$177,"&gt;"&amp;AR104)+COUNTIFS(AR$6:AR104,"="&amp;AR104)))</f>
        <v>1</v>
      </c>
      <c r="AN104" s="134">
        <f>IFERROR(IF(OR(AD104=0,AD104=""),"",IF(COUNTIFS($AS$6:$AS$177,"&gt;"&amp;AS104)+COUNTIFS(AS$6:AS104,"="&amp;AS104)=0,"",COUNTIFS($AS$6:$AS$177,"&gt;"&amp;AS104)+COUNTIFS(AS$6:AS104,"="&amp;AS104)+$AM$5)),"")</f>
        <v>29</v>
      </c>
      <c r="AO104" s="134">
        <f>IFERROR(IF(OR(AD104=0,AD104=""),"",IF(COUNTIFS($AT$6:$AT$177,"&gt;"&amp;AT104)+COUNTIFS(AT$6:AT104,"="&amp;AT104)=0,"",COUNTIFS($AT$6:$AT$177,"&gt;"&amp;AT104)+COUNTIFS(AT$6:AT104,"="&amp;AT104)+$AN$5)),"")</f>
        <v>35</v>
      </c>
      <c r="AP104" s="134">
        <f>IFERROR(IF(OR(AD104=0,AD104=""),"",IF(COUNTIFS($AU$6:$AU$177,"&gt;"&amp;AU104)+COUNTIFS(AU$6:AU104,"="&amp;AU104)=0,"",COUNTIFS($AU$6:$AU$177,"&gt;"&amp;AU104)+COUNTIFS(AU$6:AU104,"="&amp;AU104)+$AO$5)),"")</f>
        <v>41</v>
      </c>
      <c r="AQ104" s="134">
        <f>IFERROR(IF(OR(AD104=0,AD104=""),"",IF(COUNTIFS($AV$6:$AV$177,"&gt;"&amp;AV104)+COUNTIFS(AV$6:AV104,"="&amp;AV104)=0,"",COUNTIFS($AV$6:$AV$177,"&gt;"&amp;AV104)+COUNTIFS(AV$6:AV104,"="&amp;AV104)+$AP$5)),"")</f>
        <v>48</v>
      </c>
      <c r="AR104" s="78" t="str">
        <f t="shared" si="38"/>
        <v/>
      </c>
      <c r="AS104" s="78" t="str">
        <f t="shared" si="39"/>
        <v/>
      </c>
      <c r="AT104" s="78" t="str">
        <f t="shared" si="40"/>
        <v/>
      </c>
      <c r="AU104" s="78">
        <f t="shared" si="41"/>
        <v>0.7567567567567568</v>
      </c>
      <c r="AV104" s="78" t="str">
        <f t="shared" si="42"/>
        <v/>
      </c>
    </row>
    <row r="105" spans="1:48" ht="16.5" customHeight="1" x14ac:dyDescent="0.3">
      <c r="A105">
        <f>IF(AD105="","",COUNTIFS($H$6:$H$120,H105,$AF$6:$AF$120,"&gt;"&amp;AF105)+COUNTIFS(H105:$H$120,H105,AF105:$AF$120,AF105))</f>
        <v>7</v>
      </c>
      <c r="C105">
        <f t="shared" si="36"/>
        <v>109</v>
      </c>
      <c r="D105">
        <f>IF(AG105=0,"",IF(COUNTIFS($AG$6:$AG$177,"&gt;"&amp;AG105)+COUNTIFS(AG$6:AG105,"="&amp;AG105)=0,"",COUNTIFS($AG$6:$AG$177,"&gt;"&amp;AG105)+COUNTIFS(AG$6:AG105,"="&amp;AG105)))</f>
        <v>46</v>
      </c>
      <c r="F105" s="19" t="s">
        <v>95</v>
      </c>
      <c r="G105" s="113">
        <f>IFERROR(IF(VLOOKUP(F105,Lookups!$A$2:$F$111,2,FALSE)="","",VLOOKUP(F105,Lookups!$A$2:$F$111,2,FALSE)),"")</f>
        <v>296</v>
      </c>
      <c r="H105" s="113" t="str">
        <f>IFERROR(IF(VLOOKUP(F105,Lookups!$A$2:$F$111,3,FALSE)="","",VLOOKUP(F105,Lookups!$A$2:$F$111,3,FALSE)),"")</f>
        <v>U/G</v>
      </c>
      <c r="I105" s="113" t="str">
        <f>IFERROR(IF(AF105=0,"",VLOOKUP(AF105,Lookups!$K$2:$L$6,2,TRUE)),"")</f>
        <v>B</v>
      </c>
      <c r="J105" s="113" t="str">
        <f>IF(AD105&lt;Lookups!$I$5,"Y","N")</f>
        <v>Y</v>
      </c>
      <c r="K105" s="113" t="str">
        <f>IFERROR(IF(VLOOKUP(F105,Lookups!$A$2:$F$111,4,FALSE)="","",VLOOKUP(F105,Lookups!$A$2:$F$111,4,FALSE)),"")</f>
        <v>PCP</v>
      </c>
      <c r="L105" s="113" t="str">
        <f>IFERROR(IF(VLOOKUP(F105,Lookups!$A$2:$F$111,5,FALSE)="","",VLOOKUP(F105,Lookups!$A$2:$F$111,5,FALSE)),"")</f>
        <v>Bisley</v>
      </c>
      <c r="M105" s="114" t="str">
        <f>IFERROR(IF(VLOOKUP(F105,Lookups!$A$2:$F$111,6,FALSE)="","",VLOOKUP(F105,Lookups!$A$2:$F$111,6,FALSE)),"")</f>
        <v/>
      </c>
      <c r="N105" s="57" t="str">
        <f>IFERROR(IF(VLOOKUP(F105,Scores!$A$1:$I$99,2,FALSE)="","",VLOOKUP(F105,Scores!$A$1:$I$99,2,FALSE)),"")</f>
        <v/>
      </c>
      <c r="O105" s="58" t="str">
        <f>IFERROR(IF(VLOOKUP(F105,Scores!$A$1:$I$99,3,FALSE)="","",VLOOKUP(F105,Scores!$A$1:$I$99,3,FALSE)),"")</f>
        <v/>
      </c>
      <c r="P105" s="58" t="str">
        <f>IFERROR(IF(VLOOKUP(F105,Scores!$A$1:$I$99,4,FALSE)="","",VLOOKUP(F105,Scores!$A$1:$I$99,4,FALSE)),"")</f>
        <v/>
      </c>
      <c r="Q105" s="58" t="str">
        <f>IFERROR(IF(VLOOKUP(F105,Scores!$A$1:$I$99,5,FALSE)="","",VLOOKUP(F105,Scores!$A$1:$I$99,5,FALSE)),"")</f>
        <v/>
      </c>
      <c r="R105" s="58" t="str">
        <f>IFERROR(IF(VLOOKUP(F105,Scores!$A$1:$I$99,6,FALSE)="","",VLOOKUP(F105,Scores!$A$1:$I$99,6,FALSE)),"")</f>
        <v/>
      </c>
      <c r="S105" s="58">
        <f>IFERROR(IF(VLOOKUP(F105,Scores!$A$1:$I$99,7,FALSE)="","",VLOOKUP(F105,Scores!$A$1:$I$99,7,FALSE)),"")</f>
        <v>23</v>
      </c>
      <c r="T105" s="58" t="str">
        <f>IFERROR(IF(VLOOKUP(F105,Scores!$A$1:$I$99,8,FALSE)="","",VLOOKUP(F105,Scores!$A$1:$I$99,8,FALSE)),"")</f>
        <v/>
      </c>
      <c r="U105" s="60" t="str">
        <f>IFERROR(IF(VLOOKUP(F105,Scores!$A$1:$I$99,9,FALSE)="","",VLOOKUP(F105,Scores!$A$1:$I$99,9,FALSE)),"")</f>
        <v/>
      </c>
      <c r="V105" s="54" t="str">
        <f t="shared" si="54"/>
        <v/>
      </c>
      <c r="W105" s="55" t="str">
        <f t="shared" si="55"/>
        <v/>
      </c>
      <c r="X105" s="55" t="str">
        <f t="shared" si="56"/>
        <v/>
      </c>
      <c r="Y105" s="55" t="str">
        <f t="shared" si="57"/>
        <v/>
      </c>
      <c r="Z105" s="55" t="str">
        <f t="shared" si="58"/>
        <v/>
      </c>
      <c r="AA105" s="55">
        <f t="shared" si="59"/>
        <v>0.6216216216216216</v>
      </c>
      <c r="AB105" s="55" t="str">
        <f t="shared" si="60"/>
        <v/>
      </c>
      <c r="AC105" s="56" t="str">
        <f t="shared" si="61"/>
        <v/>
      </c>
      <c r="AD105" s="79">
        <f t="shared" si="51"/>
        <v>1</v>
      </c>
      <c r="AE105" s="59">
        <f t="shared" si="52"/>
        <v>0.6216216216216216</v>
      </c>
      <c r="AF105" s="55" cm="1">
        <f t="array" ref="AF105">IFERROR(IF(AD105&gt;Lookups!$I$5-1,AVERAGE(LARGE(V105:AC105,_xlfn.SEQUENCE(Lookups!$I$5))),AVERAGE(LARGE(V105:AC105,_xlfn.SEQUENCE(AD105)))),"")</f>
        <v>0.6216216216216216</v>
      </c>
      <c r="AG105" s="124">
        <f t="shared" si="53"/>
        <v>23</v>
      </c>
      <c r="AH105" s="78" t="str">
        <f>IF(AD105=Lookups!$I$5+1,LARGE(V105:AC105,5),"")</f>
        <v/>
      </c>
      <c r="AI105" s="78" t="str">
        <f>IF(AD105=Lookups!$I$5+2,LARGE(V105:AC105,6),"")</f>
        <v/>
      </c>
      <c r="AJ105" s="78"/>
      <c r="AK105" s="78"/>
      <c r="AL105" s="140">
        <f t="shared" si="37"/>
        <v>109</v>
      </c>
      <c r="AM105" s="134">
        <f>IF(OR(AD105=0,AD105=""),"",IF(COUNTIFS($AR$6:$AR$177,"&gt;"&amp;AR105)+COUNTIFS(AR$6:AR105,"="&amp;AR105)=0,"",COUNTIFS($AR$6:$AR$177,"&gt;"&amp;AR105)+COUNTIFS(AR$6:AR105,"="&amp;AR105)))</f>
        <v>1</v>
      </c>
      <c r="AN105" s="134">
        <f>IFERROR(IF(OR(AD105=0,AD105=""),"",IF(COUNTIFS($AS$6:$AS$177,"&gt;"&amp;AS105)+COUNTIFS(AS$6:AS105,"="&amp;AS105)=0,"",COUNTIFS($AS$6:$AS$177,"&gt;"&amp;AS105)+COUNTIFS(AS$6:AS105,"="&amp;AS105)+$AM$5)),"")</f>
        <v>29</v>
      </c>
      <c r="AO105" s="134">
        <f>IFERROR(IF(OR(AD105=0,AD105=""),"",IF(COUNTIFS($AT$6:$AT$177,"&gt;"&amp;AT105)+COUNTIFS(AT$6:AT105,"="&amp;AT105)=0,"",COUNTIFS($AT$6:$AT$177,"&gt;"&amp;AT105)+COUNTIFS(AT$6:AT105,"="&amp;AT105)+$AN$5)),"")</f>
        <v>35</v>
      </c>
      <c r="AP105" s="134">
        <f>IFERROR(IF(OR(AD105=0,AD105=""),"",IF(COUNTIFS($AU$6:$AU$177,"&gt;"&amp;AU105)+COUNTIFS(AU$6:AU105,"="&amp;AU105)=0,"",COUNTIFS($AU$6:$AU$177,"&gt;"&amp;AU105)+COUNTIFS(AU$6:AU105,"="&amp;AU105)+$AO$5)),"")</f>
        <v>44</v>
      </c>
      <c r="AQ105" s="134">
        <f>IFERROR(IF(OR(AD105=0,AD105=""),"",IF(COUNTIFS($AV$6:$AV$177,"&gt;"&amp;AV105)+COUNTIFS(AV$6:AV105,"="&amp;AV105)=0,"",COUNTIFS($AV$6:$AV$177,"&gt;"&amp;AV105)+COUNTIFS(AV$6:AV105,"="&amp;AV105)+$AP$5)),"")</f>
        <v>48</v>
      </c>
      <c r="AR105" s="78" t="str">
        <f t="shared" si="38"/>
        <v/>
      </c>
      <c r="AS105" s="78" t="str">
        <f t="shared" si="39"/>
        <v/>
      </c>
      <c r="AT105" s="78" t="str">
        <f t="shared" si="40"/>
        <v/>
      </c>
      <c r="AU105" s="78">
        <f t="shared" si="41"/>
        <v>0.6216216216216216</v>
      </c>
      <c r="AV105" s="78" t="str">
        <f t="shared" si="42"/>
        <v/>
      </c>
    </row>
    <row r="106" spans="1:48" ht="16.5" customHeight="1" x14ac:dyDescent="0.3">
      <c r="C106" t="str">
        <f t="shared" si="36"/>
        <v/>
      </c>
      <c r="F106" s="19"/>
      <c r="G106" s="113" t="str">
        <f>IFERROR(IF(VLOOKUP(F106,Lookups!$A$2:$F$111,2,FALSE)="","",VLOOKUP(F106,Lookups!$A$2:$F$111,2,FALSE)),"")</f>
        <v/>
      </c>
      <c r="H106" s="113" t="str">
        <f>IFERROR(IF(VLOOKUP(F106,Lookups!$A$2:$F$111,3,FALSE)="","",VLOOKUP(F106,Lookups!$A$2:$F$111,3,FALSE)),"")</f>
        <v/>
      </c>
      <c r="I106" s="113" t="str">
        <f>IFERROR(IF(AF106=0,"",VLOOKUP(AF106,Lookups!$K$2:$L$6,2,TRUE)),"")</f>
        <v/>
      </c>
      <c r="J106" s="113" t="str">
        <f>IF(AD106&lt;Lookups!$I$5,"Y","N")</f>
        <v>N</v>
      </c>
      <c r="K106" s="113" t="str">
        <f>IFERROR(IF(VLOOKUP(F106,Lookups!$A$2:$F$111,4,FALSE)="","",VLOOKUP(F106,Lookups!$A$2:$F$111,4,FALSE)),"")</f>
        <v/>
      </c>
      <c r="L106" s="113" t="str">
        <f>IFERROR(IF(VLOOKUP(F106,Lookups!$A$2:$F$111,5,FALSE)="","",VLOOKUP(F106,Lookups!$A$2:$F$111,5,FALSE)),"")</f>
        <v/>
      </c>
      <c r="M106" s="114" t="str">
        <f>IFERROR(IF(VLOOKUP(F106,Lookups!$A$2:$F$111,6,FALSE)="","",VLOOKUP(F106,Lookups!$A$2:$F$111,6,FALSE)),"")</f>
        <v/>
      </c>
      <c r="N106" s="57" t="str">
        <f>IFERROR(IF(VLOOKUP(F106,Scores!$A$1:$I$99,2,FALSE)="","",VLOOKUP(F106,Scores!$A$1:$I$99,2,FALSE)),"")</f>
        <v/>
      </c>
      <c r="O106" s="58" t="str">
        <f>IFERROR(IF(VLOOKUP(F106,Scores!$A$1:$I$99,3,FALSE)="","",VLOOKUP(F106,Scores!$A$1:$I$99,3,FALSE)),"")</f>
        <v/>
      </c>
      <c r="P106" s="58" t="str">
        <f>IFERROR(IF(VLOOKUP(F106,Scores!$A$1:$I$99,4,FALSE)="","",VLOOKUP(F106,Scores!$A$1:$I$99,4,FALSE)),"")</f>
        <v/>
      </c>
      <c r="Q106" s="58" t="str">
        <f>IFERROR(IF(VLOOKUP(F106,Scores!$A$1:$I$99,5,FALSE)="","",VLOOKUP(F106,Scores!$A$1:$I$99,5,FALSE)),"")</f>
        <v/>
      </c>
      <c r="R106" s="58" t="str">
        <f>IFERROR(IF(VLOOKUP(F106,Scores!$A$1:$I$99,6,FALSE)="","",VLOOKUP(F106,Scores!$A$1:$I$99,6,FALSE)),"")</f>
        <v/>
      </c>
      <c r="S106" s="58" t="str">
        <f>IFERROR(IF(VLOOKUP(F106,Scores!$A$1:$I$99,7,FALSE)="","",VLOOKUP(F106,Scores!$A$1:$I$99,7,FALSE)),"")</f>
        <v/>
      </c>
      <c r="T106" s="58" t="str">
        <f>IFERROR(IF(VLOOKUP(F106,Scores!$A$1:$I$99,8,FALSE)="","",VLOOKUP(F106,Scores!$A$1:$I$99,8,FALSE)),"")</f>
        <v/>
      </c>
      <c r="U106" s="60" t="str">
        <f>IFERROR(IF(VLOOKUP(F106,Scores!$A$1:$I$99,9,FALSE)="","",VLOOKUP(F106,Scores!$A$1:$I$99,9,FALSE)),"")</f>
        <v/>
      </c>
      <c r="V106" s="54" t="str">
        <f t="shared" si="54"/>
        <v/>
      </c>
      <c r="W106" s="55" t="str">
        <f t="shared" si="55"/>
        <v/>
      </c>
      <c r="X106" s="55" t="str">
        <f t="shared" si="56"/>
        <v/>
      </c>
      <c r="Y106" s="55" t="str">
        <f t="shared" si="57"/>
        <v/>
      </c>
      <c r="Z106" s="55" t="str">
        <f t="shared" si="58"/>
        <v/>
      </c>
      <c r="AA106" s="55" t="str">
        <f t="shared" si="59"/>
        <v/>
      </c>
      <c r="AB106" s="55" t="str">
        <f t="shared" si="60"/>
        <v/>
      </c>
      <c r="AC106" s="56" t="str">
        <f t="shared" si="61"/>
        <v/>
      </c>
      <c r="AD106" s="79" t="str">
        <f t="shared" ref="AD106:AD109" si="62">IF(COUNT(N106:U106)=0,"",COUNT(N106:U106))</f>
        <v/>
      </c>
      <c r="AE106" s="59" t="str">
        <f t="shared" ref="AE106:AE109" si="63">IFERROR(AVERAGE(V106:AC106),"")</f>
        <v/>
      </c>
      <c r="AF106" s="55" t="str" cm="1">
        <f t="array" ref="AF106">IFERROR(IF(AD106&gt;Lookups!$I$5-1,AVERAGE(LARGE(V106:AC106,_xlfn.SEQUENCE(Lookups!$I$5))),AVERAGE(LARGE(V106:AC106,_xlfn.SEQUENCE(AD106)))),"")</f>
        <v/>
      </c>
      <c r="AG106" s="124" t="str">
        <f t="shared" ref="AG106:AG109" si="64">IF(SUM(N106:U106)=0,"",SUM(N106:U106))</f>
        <v/>
      </c>
      <c r="AH106" s="78" t="str">
        <f>IF(AD106=Lookups!$I$5+1,LARGE(V106:AC106,5),"")</f>
        <v/>
      </c>
      <c r="AI106" s="78" t="str">
        <f>IF(AD106=Lookups!$I$5+2,LARGE(V106:AC106,6),"")</f>
        <v/>
      </c>
      <c r="AJ106" s="78"/>
      <c r="AK106" s="78"/>
      <c r="AL106" s="140" t="str">
        <f t="shared" si="37"/>
        <v/>
      </c>
      <c r="AM106" s="134" t="str">
        <f>IF(OR(AD106=0,AD106=""),"",IF(COUNTIFS($AR$6:$AR$177,"&gt;"&amp;AR106)+COUNTIFS(AR$6:AR106,"="&amp;AR106)=0,"",COUNTIFS($AR$6:$AR$177,"&gt;"&amp;AR106)+COUNTIFS(AR$6:AR106,"="&amp;AR106)))</f>
        <v/>
      </c>
      <c r="AN106" s="134" t="str">
        <f>IFERROR(IF(OR(AD106=0,AD106=""),"",IF(COUNTIFS($AS$6:$AS$177,"&gt;"&amp;AS106)+COUNTIFS(AS$6:AS106,"="&amp;AS106)=0,"",COUNTIFS($AS$6:$AS$177,"&gt;"&amp;AS106)+COUNTIFS(AS$6:AS106,"="&amp;AS106)+$AM$5)),"")</f>
        <v/>
      </c>
      <c r="AO106" s="134" t="str">
        <f>IFERROR(IF(OR(AD106=0,AD106=""),"",IF(COUNTIFS($AT$6:$AT$177,"&gt;"&amp;AT106)+COUNTIFS(AT$6:AT106,"="&amp;AT106)=0,"",COUNTIFS($AT$6:$AT$177,"&gt;"&amp;AT106)+COUNTIFS(AT$6:AT106,"="&amp;AT106)+$AN$5)),"")</f>
        <v/>
      </c>
      <c r="AP106" s="134" t="str">
        <f>IFERROR(IF(OR(AD106=0,AD106=""),"",IF(COUNTIFS($AU$6:$AU$177,"&gt;"&amp;AU106)+COUNTIFS(AU$6:AU106,"="&amp;AU106)=0,"",COUNTIFS($AU$6:$AU$177,"&gt;"&amp;AU106)+COUNTIFS(AU$6:AU106,"="&amp;AU106)+$AO$5)),"")</f>
        <v/>
      </c>
      <c r="AQ106" s="134" t="str">
        <f>IFERROR(IF(OR(AD106=0,AD106=""),"",IF(COUNTIFS($AV$6:$AV$177,"&gt;"&amp;AV106)+COUNTIFS(AV$6:AV106,"="&amp;AV106)=0,"",COUNTIFS($AV$6:$AV$177,"&gt;"&amp;AV106)+COUNTIFS(AV$6:AV106,"="&amp;AV106)+$AP$5)),"")</f>
        <v/>
      </c>
      <c r="AR106" s="78" t="str">
        <f t="shared" si="38"/>
        <v/>
      </c>
      <c r="AS106" s="78" t="str">
        <f t="shared" si="39"/>
        <v/>
      </c>
      <c r="AT106" s="78" t="str">
        <f t="shared" si="40"/>
        <v/>
      </c>
      <c r="AU106" s="78" t="str">
        <f t="shared" si="41"/>
        <v/>
      </c>
      <c r="AV106" s="78" t="str">
        <f t="shared" si="42"/>
        <v/>
      </c>
    </row>
    <row r="107" spans="1:48" ht="16.5" customHeight="1" x14ac:dyDescent="0.3">
      <c r="C107" t="str">
        <f t="shared" si="36"/>
        <v/>
      </c>
      <c r="F107" s="19"/>
      <c r="G107" s="113" t="str">
        <f>IFERROR(IF(VLOOKUP(F107,Lookups!$A$2:$F$111,2,FALSE)="","",VLOOKUP(F107,Lookups!$A$2:$F$111,2,FALSE)),"")</f>
        <v/>
      </c>
      <c r="H107" s="113" t="str">
        <f>IFERROR(IF(VLOOKUP(F107,Lookups!$A$2:$F$111,3,FALSE)="","",VLOOKUP(F107,Lookups!$A$2:$F$111,3,FALSE)),"")</f>
        <v/>
      </c>
      <c r="I107" s="113" t="str">
        <f>IFERROR(IF(AF107=0,"",VLOOKUP(AF107,Lookups!$K$2:$L$6,2,TRUE)),"")</f>
        <v/>
      </c>
      <c r="J107" s="113" t="str">
        <f>IF(AD107&lt;Lookups!$I$5,"Y","N")</f>
        <v>N</v>
      </c>
      <c r="K107" s="113" t="str">
        <f>IFERROR(IF(VLOOKUP(F107,Lookups!$A$2:$F$111,4,FALSE)="","",VLOOKUP(F107,Lookups!$A$2:$F$111,4,FALSE)),"")</f>
        <v/>
      </c>
      <c r="L107" s="113" t="str">
        <f>IFERROR(IF(VLOOKUP(F107,Lookups!$A$2:$F$111,5,FALSE)="","",VLOOKUP(F107,Lookups!$A$2:$F$111,5,FALSE)),"")</f>
        <v/>
      </c>
      <c r="M107" s="114" t="str">
        <f>IFERROR(IF(VLOOKUP(F107,Lookups!$A$2:$F$111,6,FALSE)="","",VLOOKUP(F107,Lookups!$A$2:$F$111,6,FALSE)),"")</f>
        <v/>
      </c>
      <c r="N107" s="57" t="str">
        <f>IFERROR(IF(VLOOKUP(F107,Scores!$A$1:$I$99,2,FALSE)="","",VLOOKUP(F107,Scores!$A$1:$I$99,2,FALSE)),"")</f>
        <v/>
      </c>
      <c r="O107" s="58" t="str">
        <f>IFERROR(IF(VLOOKUP(F107,Scores!$A$1:$I$99,3,FALSE)="","",VLOOKUP(F107,Scores!$A$1:$I$99,3,FALSE)),"")</f>
        <v/>
      </c>
      <c r="P107" s="58" t="str">
        <f>IFERROR(IF(VLOOKUP(F107,Scores!$A$1:$I$99,4,FALSE)="","",VLOOKUP(F107,Scores!$A$1:$I$99,4,FALSE)),"")</f>
        <v/>
      </c>
      <c r="Q107" s="58" t="str">
        <f>IFERROR(IF(VLOOKUP(F107,Scores!$A$1:$I$99,5,FALSE)="","",VLOOKUP(F107,Scores!$A$1:$I$99,5,FALSE)),"")</f>
        <v/>
      </c>
      <c r="R107" s="58" t="str">
        <f>IFERROR(IF(VLOOKUP(F107,Scores!$A$1:$I$99,6,FALSE)="","",VLOOKUP(F107,Scores!$A$1:$I$99,6,FALSE)),"")</f>
        <v/>
      </c>
      <c r="S107" s="58" t="str">
        <f>IFERROR(IF(VLOOKUP(F107,Scores!$A$1:$I$99,7,FALSE)="","",VLOOKUP(F107,Scores!$A$1:$I$99,7,FALSE)),"")</f>
        <v/>
      </c>
      <c r="T107" s="58" t="str">
        <f>IFERROR(IF(VLOOKUP(F107,Scores!$A$1:$I$99,8,FALSE)="","",VLOOKUP(F107,Scores!$A$1:$I$99,8,FALSE)),"")</f>
        <v/>
      </c>
      <c r="U107" s="60" t="str">
        <f>IFERROR(IF(VLOOKUP(F107,Scores!$A$1:$I$99,9,FALSE)="","",VLOOKUP(F107,Scores!$A$1:$I$99,9,FALSE)),"")</f>
        <v/>
      </c>
      <c r="V107" s="54" t="str">
        <f t="shared" si="54"/>
        <v/>
      </c>
      <c r="W107" s="55" t="str">
        <f t="shared" si="55"/>
        <v/>
      </c>
      <c r="X107" s="55" t="str">
        <f t="shared" si="56"/>
        <v/>
      </c>
      <c r="Y107" s="55" t="str">
        <f t="shared" si="57"/>
        <v/>
      </c>
      <c r="Z107" s="55" t="str">
        <f t="shared" si="58"/>
        <v/>
      </c>
      <c r="AA107" s="55" t="str">
        <f t="shared" si="59"/>
        <v/>
      </c>
      <c r="AB107" s="55" t="str">
        <f t="shared" si="60"/>
        <v/>
      </c>
      <c r="AC107" s="56" t="str">
        <f t="shared" si="61"/>
        <v/>
      </c>
      <c r="AD107" s="79" t="str">
        <f t="shared" si="62"/>
        <v/>
      </c>
      <c r="AE107" s="59" t="str">
        <f t="shared" si="63"/>
        <v/>
      </c>
      <c r="AF107" s="55" t="str" cm="1">
        <f t="array" ref="AF107">IFERROR(IF(AD107&gt;Lookups!$I$5-1,AVERAGE(LARGE(V107:AC107,_xlfn.SEQUENCE(Lookups!$I$5))),AVERAGE(LARGE(V107:AC107,_xlfn.SEQUENCE(AD107)))),"")</f>
        <v/>
      </c>
      <c r="AG107" s="124" t="str">
        <f t="shared" si="64"/>
        <v/>
      </c>
      <c r="AH107" s="78" t="str">
        <f>IF(AD107=Lookups!$I$5+1,LARGE(V107:AC107,5),"")</f>
        <v/>
      </c>
      <c r="AI107" s="78" t="str">
        <f>IF(AD107=Lookups!$I$5+2,LARGE(V107:AC107,6),"")</f>
        <v/>
      </c>
      <c r="AJ107" s="78"/>
      <c r="AK107" s="78"/>
      <c r="AL107" s="140" t="str">
        <f t="shared" si="37"/>
        <v/>
      </c>
      <c r="AM107" s="134" t="str">
        <f>IF(OR(AD107=0,AD107=""),"",IF(COUNTIFS($AR$6:$AR$177,"&gt;"&amp;AR107)+COUNTIFS(AR$6:AR107,"="&amp;AR107)=0,"",COUNTIFS($AR$6:$AR$177,"&gt;"&amp;AR107)+COUNTIFS(AR$6:AR107,"="&amp;AR107)))</f>
        <v/>
      </c>
      <c r="AN107" s="134" t="str">
        <f>IFERROR(IF(OR(AD107=0,AD107=""),"",IF(COUNTIFS($AS$6:$AS$177,"&gt;"&amp;AS107)+COUNTIFS(AS$6:AS107,"="&amp;AS107)=0,"",COUNTIFS($AS$6:$AS$177,"&gt;"&amp;AS107)+COUNTIFS(AS$6:AS107,"="&amp;AS107)+$AM$5)),"")</f>
        <v/>
      </c>
      <c r="AO107" s="134" t="str">
        <f>IFERROR(IF(OR(AD107=0,AD107=""),"",IF(COUNTIFS($AT$6:$AT$177,"&gt;"&amp;AT107)+COUNTIFS(AT$6:AT107,"="&amp;AT107)=0,"",COUNTIFS($AT$6:$AT$177,"&gt;"&amp;AT107)+COUNTIFS(AT$6:AT107,"="&amp;AT107)+$AN$5)),"")</f>
        <v/>
      </c>
      <c r="AP107" s="134" t="str">
        <f>IFERROR(IF(OR(AD107=0,AD107=""),"",IF(COUNTIFS($AU$6:$AU$177,"&gt;"&amp;AU107)+COUNTIFS(AU$6:AU107,"="&amp;AU107)=0,"",COUNTIFS($AU$6:$AU$177,"&gt;"&amp;AU107)+COUNTIFS(AU$6:AU107,"="&amp;AU107)+$AO$5)),"")</f>
        <v/>
      </c>
      <c r="AQ107" s="134" t="str">
        <f>IFERROR(IF(OR(AD107=0,AD107=""),"",IF(COUNTIFS($AV$6:$AV$177,"&gt;"&amp;AV107)+COUNTIFS(AV$6:AV107,"="&amp;AV107)=0,"",COUNTIFS($AV$6:$AV$177,"&gt;"&amp;AV107)+COUNTIFS(AV$6:AV107,"="&amp;AV107)+$AP$5)),"")</f>
        <v/>
      </c>
      <c r="AR107" s="78" t="str">
        <f t="shared" si="38"/>
        <v/>
      </c>
      <c r="AS107" s="78" t="str">
        <f t="shared" si="39"/>
        <v/>
      </c>
      <c r="AT107" s="78" t="str">
        <f t="shared" si="40"/>
        <v/>
      </c>
      <c r="AU107" s="78" t="str">
        <f t="shared" si="41"/>
        <v/>
      </c>
      <c r="AV107" s="78" t="str">
        <f t="shared" si="42"/>
        <v/>
      </c>
    </row>
    <row r="108" spans="1:48" ht="16.5" customHeight="1" x14ac:dyDescent="0.3">
      <c r="C108" t="str">
        <f t="shared" si="36"/>
        <v/>
      </c>
      <c r="F108" s="19"/>
      <c r="G108" s="113" t="str">
        <f>IFERROR(IF(VLOOKUP(F108,Lookups!$A$2:$F$111,2,FALSE)="","",VLOOKUP(F108,Lookups!$A$2:$F$111,2,FALSE)),"")</f>
        <v/>
      </c>
      <c r="H108" s="113" t="str">
        <f>IFERROR(IF(VLOOKUP(F108,Lookups!$A$2:$F$111,3,FALSE)="","",VLOOKUP(F108,Lookups!$A$2:$F$111,3,FALSE)),"")</f>
        <v/>
      </c>
      <c r="I108" s="113" t="str">
        <f>IFERROR(IF(AF108=0,"",VLOOKUP(AF108,Lookups!$K$2:$L$6,2,TRUE)),"")</f>
        <v/>
      </c>
      <c r="J108" s="113" t="str">
        <f>IF(AD108&lt;Lookups!$I$5,"Y","N")</f>
        <v>N</v>
      </c>
      <c r="K108" s="113" t="str">
        <f>IFERROR(IF(VLOOKUP(F108,Lookups!$A$2:$F$111,4,FALSE)="","",VLOOKUP(F108,Lookups!$A$2:$F$111,4,FALSE)),"")</f>
        <v/>
      </c>
      <c r="L108" s="113" t="str">
        <f>IFERROR(IF(VLOOKUP(F108,Lookups!$A$2:$F$111,5,FALSE)="","",VLOOKUP(F108,Lookups!$A$2:$F$111,5,FALSE)),"")</f>
        <v/>
      </c>
      <c r="M108" s="114" t="str">
        <f>IFERROR(IF(VLOOKUP(F108,Lookups!$A$2:$F$111,6,FALSE)="","",VLOOKUP(F108,Lookups!$A$2:$F$111,6,FALSE)),"")</f>
        <v/>
      </c>
      <c r="N108" s="57" t="str">
        <f>IFERROR(IF(VLOOKUP(F108,Scores!$A$1:$I$99,2,FALSE)="","",VLOOKUP(F108,Scores!$A$1:$I$99,2,FALSE)),"")</f>
        <v/>
      </c>
      <c r="O108" s="58" t="str">
        <f>IFERROR(IF(VLOOKUP(F108,Scores!$A$1:$I$99,3,FALSE)="","",VLOOKUP(F108,Scores!$A$1:$I$99,3,FALSE)),"")</f>
        <v/>
      </c>
      <c r="P108" s="58" t="str">
        <f>IFERROR(IF(VLOOKUP(F108,Scores!$A$1:$I$99,4,FALSE)="","",VLOOKUP(F108,Scores!$A$1:$I$99,4,FALSE)),"")</f>
        <v/>
      </c>
      <c r="Q108" s="58" t="str">
        <f>IFERROR(IF(VLOOKUP(F108,Scores!$A$1:$I$99,5,FALSE)="","",VLOOKUP(F108,Scores!$A$1:$I$99,5,FALSE)),"")</f>
        <v/>
      </c>
      <c r="R108" s="58" t="str">
        <f>IFERROR(IF(VLOOKUP(F108,Scores!$A$1:$I$99,6,FALSE)="","",VLOOKUP(F108,Scores!$A$1:$I$99,6,FALSE)),"")</f>
        <v/>
      </c>
      <c r="S108" s="58" t="str">
        <f>IFERROR(IF(VLOOKUP(F108,Scores!$A$1:$I$99,7,FALSE)="","",VLOOKUP(F108,Scores!$A$1:$I$99,7,FALSE)),"")</f>
        <v/>
      </c>
      <c r="T108" s="58" t="str">
        <f>IFERROR(IF(VLOOKUP(F108,Scores!$A$1:$I$99,8,FALSE)="","",VLOOKUP(F108,Scores!$A$1:$I$99,8,FALSE)),"")</f>
        <v/>
      </c>
      <c r="U108" s="60" t="str">
        <f>IFERROR(IF(VLOOKUP(F108,Scores!$A$1:$I$99,9,FALSE)="","",VLOOKUP(F108,Scores!$A$1:$I$99,9,FALSE)),"")</f>
        <v/>
      </c>
      <c r="V108" s="54" t="str">
        <f t="shared" si="54"/>
        <v/>
      </c>
      <c r="W108" s="55" t="str">
        <f t="shared" si="55"/>
        <v/>
      </c>
      <c r="X108" s="55" t="str">
        <f t="shared" si="56"/>
        <v/>
      </c>
      <c r="Y108" s="55" t="str">
        <f t="shared" si="57"/>
        <v/>
      </c>
      <c r="Z108" s="55" t="str">
        <f t="shared" si="58"/>
        <v/>
      </c>
      <c r="AA108" s="55" t="str">
        <f t="shared" si="59"/>
        <v/>
      </c>
      <c r="AB108" s="55" t="str">
        <f t="shared" si="60"/>
        <v/>
      </c>
      <c r="AC108" s="56" t="str">
        <f t="shared" si="61"/>
        <v/>
      </c>
      <c r="AD108" s="79" t="str">
        <f t="shared" si="62"/>
        <v/>
      </c>
      <c r="AE108" s="59" t="str">
        <f t="shared" si="63"/>
        <v/>
      </c>
      <c r="AF108" s="55" t="str" cm="1">
        <f t="array" ref="AF108">IFERROR(IF(AD108&gt;Lookups!$I$5-1,AVERAGE(LARGE(V108:AC108,_xlfn.SEQUENCE(Lookups!$I$5))),AVERAGE(LARGE(V108:AC108,_xlfn.SEQUENCE(AD108)))),"")</f>
        <v/>
      </c>
      <c r="AG108" s="124" t="str">
        <f t="shared" si="64"/>
        <v/>
      </c>
      <c r="AH108" s="78" t="str">
        <f>IF(AD108=Lookups!$I$5+1,LARGE(V108:AC108,5),"")</f>
        <v/>
      </c>
      <c r="AI108" s="78" t="str">
        <f>IF(AD108=Lookups!$I$5+2,LARGE(V108:AC108,6),"")</f>
        <v/>
      </c>
      <c r="AJ108" s="78"/>
      <c r="AK108" s="78"/>
      <c r="AL108" s="140" t="str">
        <f t="shared" si="37"/>
        <v/>
      </c>
      <c r="AM108" s="134" t="str">
        <f>IF(OR(AD108=0,AD108=""),"",IF(COUNTIFS($AR$6:$AR$177,"&gt;"&amp;AR108)+COUNTIFS(AR$6:AR108,"="&amp;AR108)=0,"",COUNTIFS($AR$6:$AR$177,"&gt;"&amp;AR108)+COUNTIFS(AR$6:AR108,"="&amp;AR108)))</f>
        <v/>
      </c>
      <c r="AN108" s="134" t="str">
        <f>IFERROR(IF(OR(AD108=0,AD108=""),"",IF(COUNTIFS($AS$6:$AS$177,"&gt;"&amp;AS108)+COUNTIFS(AS$6:AS108,"="&amp;AS108)=0,"",COUNTIFS($AS$6:$AS$177,"&gt;"&amp;AS108)+COUNTIFS(AS$6:AS108,"="&amp;AS108)+$AM$5)),"")</f>
        <v/>
      </c>
      <c r="AO108" s="134" t="str">
        <f>IFERROR(IF(OR(AD108=0,AD108=""),"",IF(COUNTIFS($AT$6:$AT$177,"&gt;"&amp;AT108)+COUNTIFS(AT$6:AT108,"="&amp;AT108)=0,"",COUNTIFS($AT$6:$AT$177,"&gt;"&amp;AT108)+COUNTIFS(AT$6:AT108,"="&amp;AT108)+$AN$5)),"")</f>
        <v/>
      </c>
      <c r="AP108" s="134" t="str">
        <f>IFERROR(IF(OR(AD108=0,AD108=""),"",IF(COUNTIFS($AU$6:$AU$177,"&gt;"&amp;AU108)+COUNTIFS(AU$6:AU108,"="&amp;AU108)=0,"",COUNTIFS($AU$6:$AU$177,"&gt;"&amp;AU108)+COUNTIFS(AU$6:AU108,"="&amp;AU108)+$AO$5)),"")</f>
        <v/>
      </c>
      <c r="AQ108" s="134" t="str">
        <f>IFERROR(IF(OR(AD108=0,AD108=""),"",IF(COUNTIFS($AV$6:$AV$177,"&gt;"&amp;AV108)+COUNTIFS(AV$6:AV108,"="&amp;AV108)=0,"",COUNTIFS($AV$6:$AV$177,"&gt;"&amp;AV108)+COUNTIFS(AV$6:AV108,"="&amp;AV108)+$AP$5)),"")</f>
        <v/>
      </c>
      <c r="AR108" s="78" t="str">
        <f t="shared" si="38"/>
        <v/>
      </c>
      <c r="AS108" s="78" t="str">
        <f t="shared" si="39"/>
        <v/>
      </c>
      <c r="AT108" s="78" t="str">
        <f t="shared" si="40"/>
        <v/>
      </c>
      <c r="AU108" s="78" t="str">
        <f t="shared" si="41"/>
        <v/>
      </c>
      <c r="AV108" s="78" t="str">
        <f t="shared" si="42"/>
        <v/>
      </c>
    </row>
    <row r="109" spans="1:48" ht="16.5" customHeight="1" x14ac:dyDescent="0.3">
      <c r="C109" t="str">
        <f t="shared" si="36"/>
        <v/>
      </c>
      <c r="F109" s="19"/>
      <c r="G109" s="113" t="str">
        <f>IFERROR(IF(VLOOKUP(F109,Lookups!$A$2:$F$111,2,FALSE)="","",VLOOKUP(F109,Lookups!$A$2:$F$111,2,FALSE)),"")</f>
        <v/>
      </c>
      <c r="H109" s="113" t="str">
        <f>IFERROR(IF(VLOOKUP(F109,Lookups!$A$2:$F$111,3,FALSE)="","",VLOOKUP(F109,Lookups!$A$2:$F$111,3,FALSE)),"")</f>
        <v/>
      </c>
      <c r="I109" s="113" t="str">
        <f>IFERROR(IF(AF109=0,"",VLOOKUP(AF109,Lookups!$K$2:$L$6,2,TRUE)),"")</f>
        <v/>
      </c>
      <c r="J109" s="113" t="str">
        <f>IF(AD109&lt;Lookups!$I$5,"Y","N")</f>
        <v>N</v>
      </c>
      <c r="K109" s="113" t="str">
        <f>IFERROR(IF(VLOOKUP(F109,Lookups!$A$2:$F$111,4,FALSE)="","",VLOOKUP(F109,Lookups!$A$2:$F$111,4,FALSE)),"")</f>
        <v/>
      </c>
      <c r="L109" s="113" t="str">
        <f>IFERROR(IF(VLOOKUP(F109,Lookups!$A$2:$F$111,5,FALSE)="","",VLOOKUP(F109,Lookups!$A$2:$F$111,5,FALSE)),"")</f>
        <v/>
      </c>
      <c r="M109" s="114" t="str">
        <f>IFERROR(IF(VLOOKUP(F109,Lookups!$A$2:$F$111,6,FALSE)="","",VLOOKUP(F109,Lookups!$A$2:$F$111,6,FALSE)),"")</f>
        <v/>
      </c>
      <c r="N109" s="57" t="str">
        <f>IFERROR(IF(VLOOKUP(F109,Scores!$A$1:$I$99,2,FALSE)="","",VLOOKUP(F109,Scores!$A$1:$I$99,2,FALSE)),"")</f>
        <v/>
      </c>
      <c r="O109" s="58" t="str">
        <f>IFERROR(IF(VLOOKUP(F109,Scores!$A$1:$I$99,3,FALSE)="","",VLOOKUP(F109,Scores!$A$1:$I$99,3,FALSE)),"")</f>
        <v/>
      </c>
      <c r="P109" s="58" t="str">
        <f>IFERROR(IF(VLOOKUP(F109,Scores!$A$1:$I$99,4,FALSE)="","",VLOOKUP(F109,Scores!$A$1:$I$99,4,FALSE)),"")</f>
        <v/>
      </c>
      <c r="Q109" s="58" t="str">
        <f>IFERROR(IF(VLOOKUP(F109,Scores!$A$1:$I$99,5,FALSE)="","",VLOOKUP(F109,Scores!$A$1:$I$99,5,FALSE)),"")</f>
        <v/>
      </c>
      <c r="R109" s="58" t="str">
        <f>IFERROR(IF(VLOOKUP(F109,Scores!$A$1:$I$99,6,FALSE)="","",VLOOKUP(F109,Scores!$A$1:$I$99,6,FALSE)),"")</f>
        <v/>
      </c>
      <c r="S109" s="58" t="str">
        <f>IFERROR(IF(VLOOKUP(F109,Scores!$A$1:$I$99,7,FALSE)="","",VLOOKUP(F109,Scores!$A$1:$I$99,7,FALSE)),"")</f>
        <v/>
      </c>
      <c r="T109" s="58" t="str">
        <f>IFERROR(IF(VLOOKUP(F109,Scores!$A$1:$I$99,8,FALSE)="","",VLOOKUP(F109,Scores!$A$1:$I$99,8,FALSE)),"")</f>
        <v/>
      </c>
      <c r="U109" s="60" t="str">
        <f>IFERROR(IF(VLOOKUP(F109,Scores!$A$1:$I$99,9,FALSE)="","",VLOOKUP(F109,Scores!$A$1:$I$99,9,FALSE)),"")</f>
        <v/>
      </c>
      <c r="V109" s="54" t="str">
        <f t="shared" si="54"/>
        <v/>
      </c>
      <c r="W109" s="55" t="str">
        <f t="shared" si="55"/>
        <v/>
      </c>
      <c r="X109" s="55" t="str">
        <f t="shared" si="56"/>
        <v/>
      </c>
      <c r="Y109" s="55" t="str">
        <f t="shared" si="57"/>
        <v/>
      </c>
      <c r="Z109" s="55" t="str">
        <f t="shared" si="58"/>
        <v/>
      </c>
      <c r="AA109" s="55" t="str">
        <f t="shared" si="59"/>
        <v/>
      </c>
      <c r="AB109" s="55" t="str">
        <f t="shared" si="60"/>
        <v/>
      </c>
      <c r="AC109" s="56" t="str">
        <f t="shared" si="61"/>
        <v/>
      </c>
      <c r="AD109" s="79" t="str">
        <f t="shared" si="62"/>
        <v/>
      </c>
      <c r="AE109" s="59" t="str">
        <f t="shared" si="63"/>
        <v/>
      </c>
      <c r="AF109" s="55" t="str" cm="1">
        <f t="array" ref="AF109">IFERROR(IF(AD109&gt;Lookups!$I$5-1,AVERAGE(LARGE(V109:AC109,_xlfn.SEQUENCE(Lookups!$I$5))),AVERAGE(LARGE(V109:AC109,_xlfn.SEQUENCE(AD109)))),"")</f>
        <v/>
      </c>
      <c r="AG109" s="124" t="str">
        <f t="shared" si="64"/>
        <v/>
      </c>
      <c r="AH109" s="78" t="str">
        <f>IF(AD109=Lookups!$I$5+1,LARGE(V109:AC109,5),"")</f>
        <v/>
      </c>
      <c r="AI109" s="78" t="str">
        <f>IF(AD109=Lookups!$I$5+2,LARGE(V109:AC109,6),"")</f>
        <v/>
      </c>
      <c r="AJ109" s="78"/>
      <c r="AK109" s="78"/>
      <c r="AL109" s="140" t="str">
        <f t="shared" si="37"/>
        <v/>
      </c>
      <c r="AM109" s="134" t="str">
        <f>IF(OR(AD109=0,AD109=""),"",IF(COUNTIFS($AR$6:$AR$177,"&gt;"&amp;AR109)+COUNTIFS(AR$6:AR109,"="&amp;AR109)=0,"",COUNTIFS($AR$6:$AR$177,"&gt;"&amp;AR109)+COUNTIFS(AR$6:AR109,"="&amp;AR109)))</f>
        <v/>
      </c>
      <c r="AN109" s="134" t="str">
        <f>IFERROR(IF(OR(AD109=0,AD109=""),"",IF(COUNTIFS($AS$6:$AS$177,"&gt;"&amp;AS109)+COUNTIFS(AS$6:AS109,"="&amp;AS109)=0,"",COUNTIFS($AS$6:$AS$177,"&gt;"&amp;AS109)+COUNTIFS(AS$6:AS109,"="&amp;AS109)+$AM$5)),"")</f>
        <v/>
      </c>
      <c r="AO109" s="134" t="str">
        <f>IFERROR(IF(OR(AD109=0,AD109=""),"",IF(COUNTIFS($AT$6:$AT$177,"&gt;"&amp;AT109)+COUNTIFS(AT$6:AT109,"="&amp;AT109)=0,"",COUNTIFS($AT$6:$AT$177,"&gt;"&amp;AT109)+COUNTIFS(AT$6:AT109,"="&amp;AT109)+$AN$5)),"")</f>
        <v/>
      </c>
      <c r="AP109" s="134" t="str">
        <f>IFERROR(IF(OR(AD109=0,AD109=""),"",IF(COUNTIFS($AU$6:$AU$177,"&gt;"&amp;AU109)+COUNTIFS(AU$6:AU109,"="&amp;AU109)=0,"",COUNTIFS($AU$6:$AU$177,"&gt;"&amp;AU109)+COUNTIFS(AU$6:AU109,"="&amp;AU109)+$AO$5)),"")</f>
        <v/>
      </c>
      <c r="AQ109" s="134" t="str">
        <f>IFERROR(IF(OR(AD109=0,AD109=""),"",IF(COUNTIFS($AV$6:$AV$177,"&gt;"&amp;AV109)+COUNTIFS(AV$6:AV109,"="&amp;AV109)=0,"",COUNTIFS($AV$6:$AV$177,"&gt;"&amp;AV109)+COUNTIFS(AV$6:AV109,"="&amp;AV109)+$AP$5)),"")</f>
        <v/>
      </c>
      <c r="AR109" s="78" t="str">
        <f t="shared" si="38"/>
        <v/>
      </c>
      <c r="AS109" s="78" t="str">
        <f t="shared" si="39"/>
        <v/>
      </c>
      <c r="AT109" s="78" t="str">
        <f t="shared" si="40"/>
        <v/>
      </c>
      <c r="AU109" s="78" t="str">
        <f t="shared" si="41"/>
        <v/>
      </c>
      <c r="AV109" s="78" t="str">
        <f t="shared" si="42"/>
        <v/>
      </c>
    </row>
    <row r="110" spans="1:48" ht="16.5" customHeight="1" x14ac:dyDescent="0.3">
      <c r="A110" t="str">
        <f>IF(AD110="","",COUNTIFS($H$6:$H$120,H110,$AF$6:$AF$120,"&gt;"&amp;AF110)+COUNTIFS(H110:$H$120,H110,AF110:$AF$120,AF110))</f>
        <v/>
      </c>
      <c r="C110" t="str">
        <f t="shared" si="36"/>
        <v/>
      </c>
      <c r="D110" t="str">
        <f>IF(AG110=0,"",IF(COUNTIFS($AG$6:$AG$177,"&gt;"&amp;AG110)+COUNTIFS(AG$6:AG110,"="&amp;AG110)=0,"",COUNTIFS($AG$6:$AG$177,"&gt;"&amp;AG110)+COUNTIFS(AG$6:AG110,"="&amp;AG110)))</f>
        <v/>
      </c>
      <c r="F110" s="61" t="s">
        <v>113</v>
      </c>
      <c r="G110" s="111">
        <f>IFERROR(IF(VLOOKUP(F110,Lookups!$A$2:$F$111,2,FALSE)="","",VLOOKUP(F110,Lookups!$A$2:$F$111,2,FALSE)),"")</f>
        <v>106</v>
      </c>
      <c r="H110" s="111" t="str">
        <f>IFERROR(IF(VLOOKUP(F110,Lookups!$A$2:$F$111,3,FALSE)="","",VLOOKUP(F110,Lookups!$A$2:$F$111,3,FALSE)),"")</f>
        <v>O</v>
      </c>
      <c r="I110" s="111" t="str">
        <f>IFERROR(IF(AF110=0,"",VLOOKUP(AF110,Lookups!$K$2:$L$6,2,TRUE)),"")</f>
        <v/>
      </c>
      <c r="J110" s="111" t="str">
        <f>IF(AD110&lt;Lookups!$I$5,"Y","N")</f>
        <v>N</v>
      </c>
      <c r="K110" s="111" t="str">
        <f>IFERROR(IF(VLOOKUP(F110,Lookups!$A$2:$F$111,4,FALSE)="","",VLOOKUP(F110,Lookups!$A$2:$F$111,4,FALSE)),"")</f>
        <v>Open</v>
      </c>
      <c r="L110" s="111" t="str">
        <f>IFERROR(IF(VLOOKUP(F110,Lookups!$A$2:$F$111,5,FALSE)="","",VLOOKUP(F110,Lookups!$A$2:$F$111,5,FALSE)),"")</f>
        <v>Carisbrooke</v>
      </c>
      <c r="M110" s="112" t="str">
        <f>IFERROR(IF(VLOOKUP(F110,Lookups!$A$2:$F$111,6,FALSE)="","",VLOOKUP(F110,Lookups!$A$2:$F$111,6,FALSE)),"")</f>
        <v/>
      </c>
      <c r="N110" s="57" t="str">
        <f>IFERROR(IF(VLOOKUP(F110,Scores!$A$1:$I$99,2,FALSE)="","",VLOOKUP(F110,Scores!$A$1:$I$99,2,FALSE)),"")</f>
        <v/>
      </c>
      <c r="O110" s="58" t="str">
        <f>IFERROR(IF(VLOOKUP(F110,Scores!$A$1:$I$99,3,FALSE)="","",VLOOKUP(F110,Scores!$A$1:$I$99,3,FALSE)),"")</f>
        <v/>
      </c>
      <c r="P110" s="58" t="str">
        <f>IFERROR(IF(VLOOKUP(F110,Scores!$A$1:$I$99,4,FALSE)="","",VLOOKUP(F110,Scores!$A$1:$I$99,4,FALSE)),"")</f>
        <v/>
      </c>
      <c r="Q110" s="58" t="str">
        <f>IFERROR(IF(VLOOKUP(F110,Scores!$A$1:$I$99,5,FALSE)="","",VLOOKUP(F110,Scores!$A$1:$I$99,5,FALSE)),"")</f>
        <v/>
      </c>
      <c r="R110" s="58" t="str">
        <f>IFERROR(IF(VLOOKUP(F110,Scores!$A$1:$I$99,6,FALSE)="","",VLOOKUP(F110,Scores!$A$1:$I$99,6,FALSE)),"")</f>
        <v/>
      </c>
      <c r="S110" s="58" t="str">
        <f>IFERROR(IF(VLOOKUP(F110,Scores!$A$1:$I$99,7,FALSE)="","",VLOOKUP(F110,Scores!$A$1:$I$99,7,FALSE)),"")</f>
        <v/>
      </c>
      <c r="T110" s="58" t="str">
        <f>IFERROR(IF(VLOOKUP(F110,Scores!$A$1:$I$99,8,FALSE)="","",VLOOKUP(F110,Scores!$A$1:$I$99,8,FALSE)),"")</f>
        <v/>
      </c>
      <c r="U110" s="60" t="str">
        <f>IFERROR(IF(VLOOKUP(F110,Scores!$A$1:$I$99,9,FALSE)="","",VLOOKUP(F110,Scores!$A$1:$I$99,9,FALSE)),"")</f>
        <v/>
      </c>
      <c r="V110" s="54" t="str">
        <f t="shared" si="54"/>
        <v/>
      </c>
      <c r="W110" s="55" t="str">
        <f t="shared" si="55"/>
        <v/>
      </c>
      <c r="X110" s="55" t="str">
        <f t="shared" si="56"/>
        <v/>
      </c>
      <c r="Y110" s="55" t="str">
        <f t="shared" si="57"/>
        <v/>
      </c>
      <c r="Z110" s="55" t="str">
        <f t="shared" si="58"/>
        <v/>
      </c>
      <c r="AA110" s="55" t="str">
        <f t="shared" si="59"/>
        <v/>
      </c>
      <c r="AB110" s="55" t="str">
        <f t="shared" si="60"/>
        <v/>
      </c>
      <c r="AC110" s="56" t="str">
        <f t="shared" si="61"/>
        <v/>
      </c>
      <c r="AD110" s="79" t="str">
        <f t="shared" si="51"/>
        <v/>
      </c>
      <c r="AE110" s="59" t="str">
        <f t="shared" si="52"/>
        <v/>
      </c>
      <c r="AF110" s="55" t="str" cm="1">
        <f t="array" ref="AF110">IFERROR(IF(AD110&gt;Lookups!$I$5-1,AVERAGE(LARGE(V110:AC110,_xlfn.SEQUENCE(Lookups!$I$5))),AVERAGE(LARGE(V110:AC110,_xlfn.SEQUENCE(AD110)))),"")</f>
        <v/>
      </c>
      <c r="AG110" s="124" t="str">
        <f t="shared" si="53"/>
        <v/>
      </c>
      <c r="AH110" s="78" t="str">
        <f>IF(AD110=Lookups!$I$5+1,LARGE(V110:AC110,5),"")</f>
        <v/>
      </c>
      <c r="AI110" s="78" t="str">
        <f>IF(AD110=Lookups!$I$5+2,LARGE(V110:AC110,6),"")</f>
        <v/>
      </c>
      <c r="AJ110" s="78"/>
      <c r="AK110" s="78"/>
      <c r="AL110" s="140" t="str">
        <f t="shared" si="37"/>
        <v/>
      </c>
      <c r="AM110" s="134" t="str">
        <f>IF(OR(AD110=0,AD110=""),"",IF(COUNTIFS($AR$6:$AR$177,"&gt;"&amp;AR110)+COUNTIFS(AR$6:AR110,"="&amp;AR110)=0,"",COUNTIFS($AR$6:$AR$177,"&gt;"&amp;AR110)+COUNTIFS(AR$6:AR110,"="&amp;AR110)))</f>
        <v/>
      </c>
      <c r="AN110" s="134" t="str">
        <f>IFERROR(IF(OR(AD110=0,AD110=""),"",IF(COUNTIFS($AS$6:$AS$177,"&gt;"&amp;AS110)+COUNTIFS(AS$6:AS110,"="&amp;AS110)=0,"",COUNTIFS($AS$6:$AS$177,"&gt;"&amp;AS110)+COUNTIFS(AS$6:AS110,"="&amp;AS110)+$AM$5)),"")</f>
        <v/>
      </c>
      <c r="AO110" s="134" t="str">
        <f>IFERROR(IF(OR(AD110=0,AD110=""),"",IF(COUNTIFS($AT$6:$AT$177,"&gt;"&amp;AT110)+COUNTIFS(AT$6:AT110,"="&amp;AT110)=0,"",COUNTIFS($AT$6:$AT$177,"&gt;"&amp;AT110)+COUNTIFS(AT$6:AT110,"="&amp;AT110)+$AN$5)),"")</f>
        <v/>
      </c>
      <c r="AP110" s="134" t="str">
        <f>IFERROR(IF(OR(AD110=0,AD110=""),"",IF(COUNTIFS($AU$6:$AU$177,"&gt;"&amp;AU110)+COUNTIFS(AU$6:AU110,"="&amp;AU110)=0,"",COUNTIFS($AU$6:$AU$177,"&gt;"&amp;AU110)+COUNTIFS(AU$6:AU110,"="&amp;AU110)+$AO$5)),"")</f>
        <v/>
      </c>
      <c r="AQ110" s="134" t="str">
        <f>IFERROR(IF(OR(AD110=0,AD110=""),"",IF(COUNTIFS($AV$6:$AV$177,"&gt;"&amp;AV110)+COUNTIFS(AV$6:AV110,"="&amp;AV110)=0,"",COUNTIFS($AV$6:$AV$177,"&gt;"&amp;AV110)+COUNTIFS(AV$6:AV110,"="&amp;AV110)+$AP$5)),"")</f>
        <v/>
      </c>
      <c r="AR110" s="78" t="str">
        <f t="shared" si="38"/>
        <v/>
      </c>
      <c r="AS110" s="78" t="str">
        <f t="shared" si="39"/>
        <v/>
      </c>
      <c r="AT110" s="78" t="str">
        <f t="shared" si="40"/>
        <v/>
      </c>
      <c r="AU110" s="78" t="str">
        <f t="shared" si="41"/>
        <v/>
      </c>
      <c r="AV110" s="78" t="str">
        <f t="shared" si="42"/>
        <v/>
      </c>
    </row>
    <row r="111" spans="1:48" ht="16.5" customHeight="1" x14ac:dyDescent="0.3">
      <c r="A111">
        <f>IF(AD111="","",COUNTIFS($H$6:$H$120,H111,$AF$6:$AF$120,"&gt;"&amp;AF111)+COUNTIFS(H111:$H$120,H111,AF111:$AF$120,AF111))</f>
        <v>3</v>
      </c>
      <c r="C111">
        <f t="shared" si="36"/>
        <v>125</v>
      </c>
      <c r="D111">
        <f>IF(AG111=0,"",IF(COUNTIFS($AG$6:$AG$177,"&gt;"&amp;AG111)+COUNTIFS(AG$6:AG111,"="&amp;AG111)=0,"",COUNTIFS($AG$6:$AG$177,"&gt;"&amp;AG111)+COUNTIFS(AG$6:AG111,"="&amp;AG111)))</f>
        <v>23</v>
      </c>
      <c r="F111" s="61" t="s">
        <v>111</v>
      </c>
      <c r="G111" s="111">
        <f>IFERROR(IF(VLOOKUP(F111,Lookups!$A$2:$F$111,2,FALSE)="","",VLOOKUP(F111,Lookups!$A$2:$F$111,2,FALSE)),"")</f>
        <v>448</v>
      </c>
      <c r="H111" s="111" t="str">
        <f>IFERROR(IF(VLOOKUP(F111,Lookups!$A$2:$F$111,3,FALSE)="","",VLOOKUP(F111,Lookups!$A$2:$F$111,3,FALSE)),"")</f>
        <v>O</v>
      </c>
      <c r="I111" s="111" t="str">
        <f>IFERROR(IF(AF111=0,"",VLOOKUP(AF111,Lookups!$K$2:$L$6,2,TRUE)),"")</f>
        <v>B</v>
      </c>
      <c r="J111" s="111" t="str">
        <f>IF(AD111&lt;Lookups!$I$5,"Y","N")</f>
        <v>N</v>
      </c>
      <c r="K111" s="111" t="str">
        <f>IFERROR(IF(VLOOKUP(F111,Lookups!$A$2:$F$111,4,FALSE)="","",VLOOKUP(F111,Lookups!$A$2:$F$111,4,FALSE)),"")</f>
        <v>Open</v>
      </c>
      <c r="L111" s="111" t="str">
        <f>IFERROR(IF(VLOOKUP(F111,Lookups!$A$2:$F$111,5,FALSE)="","",VLOOKUP(F111,Lookups!$A$2:$F$111,5,FALSE)),"")</f>
        <v>Newbury</v>
      </c>
      <c r="M111" s="112" t="str">
        <f>IFERROR(IF(VLOOKUP(F111,Lookups!$A$2:$F$111,6,FALSE)="","",VLOOKUP(F111,Lookups!$A$2:$F$111,6,FALSE)),"")</f>
        <v>Newbury</v>
      </c>
      <c r="N111" s="57">
        <f>IFERROR(IF(VLOOKUP(F111,Scores!$A$1:$I$99,2,FALSE)="","",VLOOKUP(F111,Scores!$A$1:$I$99,2,FALSE)),"")</f>
        <v>23</v>
      </c>
      <c r="O111" s="58" t="str">
        <f>IFERROR(IF(VLOOKUP(F111,Scores!$A$1:$I$99,3,FALSE)="","",VLOOKUP(F111,Scores!$A$1:$I$99,3,FALSE)),"")</f>
        <v/>
      </c>
      <c r="P111" s="58">
        <f>IFERROR(IF(VLOOKUP(F111,Scores!$A$1:$I$99,4,FALSE)="","",VLOOKUP(F111,Scores!$A$1:$I$99,4,FALSE)),"")</f>
        <v>25</v>
      </c>
      <c r="Q111" s="58">
        <f>IFERROR(IF(VLOOKUP(F111,Scores!$A$1:$I$99,5,FALSE)="","",VLOOKUP(F111,Scores!$A$1:$I$99,5,FALSE)),"")</f>
        <v>27</v>
      </c>
      <c r="R111" s="58">
        <f>IFERROR(IF(VLOOKUP(F111,Scores!$A$1:$I$99,6,FALSE)="","",VLOOKUP(F111,Scores!$A$1:$I$99,6,FALSE)),"")</f>
        <v>27</v>
      </c>
      <c r="S111" s="58">
        <f>IFERROR(IF(VLOOKUP(F111,Scores!$A$1:$I$99,7,FALSE)="","",VLOOKUP(F111,Scores!$A$1:$I$99,7,FALSE)),"")</f>
        <v>24</v>
      </c>
      <c r="T111" s="58" t="str">
        <f>IFERROR(IF(VLOOKUP(F111,Scores!$A$1:$I$99,8,FALSE)="","",VLOOKUP(F111,Scores!$A$1:$I$99,8,FALSE)),"")</f>
        <v/>
      </c>
      <c r="U111" s="60" t="str">
        <f>IFERROR(IF(VLOOKUP(F111,Scores!$A$1:$I$99,9,FALSE)="","",VLOOKUP(F111,Scores!$A$1:$I$99,9,FALSE)),"")</f>
        <v/>
      </c>
      <c r="V111" s="54">
        <f t="shared" si="43"/>
        <v>0.6216216216216216</v>
      </c>
      <c r="W111" s="55" t="str">
        <f t="shared" si="44"/>
        <v/>
      </c>
      <c r="X111" s="55">
        <f t="shared" si="45"/>
        <v>0.67567567567567566</v>
      </c>
      <c r="Y111" s="55">
        <f t="shared" si="46"/>
        <v>0.75</v>
      </c>
      <c r="Z111" s="55">
        <f t="shared" si="47"/>
        <v>0.71052631578947367</v>
      </c>
      <c r="AA111" s="55">
        <f t="shared" si="48"/>
        <v>0.64864864864864868</v>
      </c>
      <c r="AB111" s="55" t="str">
        <f t="shared" si="49"/>
        <v/>
      </c>
      <c r="AC111" s="56" t="str">
        <f t="shared" si="50"/>
        <v/>
      </c>
      <c r="AD111" s="79">
        <f t="shared" si="51"/>
        <v>5</v>
      </c>
      <c r="AE111" s="59">
        <f t="shared" si="52"/>
        <v>0.68129445234708386</v>
      </c>
      <c r="AF111" s="55" cm="1">
        <f t="array" ref="AF111">IFERROR(IF(AD111&gt;Lookups!$I$5-1,AVERAGE(LARGE(V111:AC111,_xlfn.SEQUENCE(Lookups!$I$5))),AVERAGE(LARGE(V111:AC111,_xlfn.SEQUENCE(AD111)))),"")</f>
        <v>0.6962126600284495</v>
      </c>
      <c r="AG111" s="124">
        <f t="shared" si="53"/>
        <v>126</v>
      </c>
      <c r="AH111" s="78">
        <f>IF(AD111=Lookups!$I$5+1,LARGE(V111:AC111,5),"")</f>
        <v>0.6216216216216216</v>
      </c>
      <c r="AI111" s="78" t="str">
        <f>IF(AD111=Lookups!$I$5+2,LARGE(V111:AC111,6),"")</f>
        <v/>
      </c>
      <c r="AJ111" s="78"/>
      <c r="AK111" s="78"/>
      <c r="AL111" s="140">
        <f t="shared" si="37"/>
        <v>125</v>
      </c>
      <c r="AM111" s="134">
        <f>IF(OR(AD111=0,AD111=""),"",IF(COUNTIFS($AR$6:$AR$177,"&gt;"&amp;AR111)+COUNTIFS(AR$6:AR111,"="&amp;AR111)=0,"",COUNTIFS($AR$6:$AR$177,"&gt;"&amp;AR111)+COUNTIFS(AR$6:AR111,"="&amp;AR111)))</f>
        <v>23</v>
      </c>
      <c r="AN111" s="134">
        <f>IFERROR(IF(OR(AD111=0,AD111=""),"",IF(COUNTIFS($AS$6:$AS$177,"&gt;"&amp;AS111)+COUNTIFS(AS$6:AS111,"="&amp;AS111)=0,"",COUNTIFS($AS$6:$AS$177,"&gt;"&amp;AS111)+COUNTIFS(AS$6:AS111,"="&amp;AS111)+$AM$5)),"")</f>
        <v>29</v>
      </c>
      <c r="AO111" s="134">
        <f>IFERROR(IF(OR(AD111=0,AD111=""),"",IF(COUNTIFS($AT$6:$AT$177,"&gt;"&amp;AT111)+COUNTIFS(AT$6:AT111,"="&amp;AT111)=0,"",COUNTIFS($AT$6:$AT$177,"&gt;"&amp;AT111)+COUNTIFS(AT$6:AT111,"="&amp;AT111)+$AN$5)),"")</f>
        <v>35</v>
      </c>
      <c r="AP111" s="134">
        <f>IFERROR(IF(OR(AD111=0,AD111=""),"",IF(COUNTIFS($AU$6:$AU$177,"&gt;"&amp;AU111)+COUNTIFS(AU$6:AU111,"="&amp;AU111)=0,"",COUNTIFS($AU$6:$AU$177,"&gt;"&amp;AU111)+COUNTIFS(AU$6:AU111,"="&amp;AU111)+$AO$5)),"")</f>
        <v>38</v>
      </c>
      <c r="AQ111" s="134">
        <f>IFERROR(IF(OR(AD111=0,AD111=""),"",IF(COUNTIFS($AV$6:$AV$177,"&gt;"&amp;AV111)+COUNTIFS(AV$6:AV111,"="&amp;AV111)=0,"",COUNTIFS($AV$6:$AV$177,"&gt;"&amp;AV111)+COUNTIFS(AV$6:AV111,"="&amp;AV111)+$AP$5)),"")</f>
        <v>48</v>
      </c>
      <c r="AR111" s="78">
        <f t="shared" si="38"/>
        <v>0.6962126600284495</v>
      </c>
      <c r="AS111" s="78" t="str">
        <f t="shared" si="39"/>
        <v/>
      </c>
      <c r="AT111" s="78" t="str">
        <f t="shared" si="40"/>
        <v/>
      </c>
      <c r="AU111" s="78" t="str">
        <f t="shared" si="41"/>
        <v/>
      </c>
      <c r="AV111" s="78" t="str">
        <f t="shared" si="42"/>
        <v/>
      </c>
    </row>
    <row r="112" spans="1:48" ht="16.5" customHeight="1" x14ac:dyDescent="0.3">
      <c r="A112">
        <f>IF(AD112="","",COUNTIFS($H$6:$H$120,H112,$AF$6:$AF$120,"&gt;"&amp;AF112)+COUNTIFS(H112:$H$120,H112,AF112:$AF$120,AF112))</f>
        <v>2</v>
      </c>
      <c r="C112">
        <f t="shared" si="36"/>
        <v>118</v>
      </c>
      <c r="D112">
        <f>IF(AG112=0,"",IF(COUNTIFS($AG$6:$AG$177,"&gt;"&amp;AG112)+COUNTIFS(AG$6:AG112,"="&amp;AG112)=0,"",COUNTIFS($AG$6:$AG$177,"&gt;"&amp;AG112)+COUNTIFS(AG$6:AG112,"="&amp;AG112)))</f>
        <v>18</v>
      </c>
      <c r="F112" s="61" t="s">
        <v>109</v>
      </c>
      <c r="G112" s="111">
        <f>IFERROR(IF(VLOOKUP(F112,Lookups!$A$2:$F$111,2,FALSE)="","",VLOOKUP(F112,Lookups!$A$2:$F$111,2,FALSE)),"")</f>
        <v>1515</v>
      </c>
      <c r="H112" s="111" t="str">
        <f>IFERROR(IF(VLOOKUP(F112,Lookups!$A$2:$F$111,3,FALSE)="","",VLOOKUP(F112,Lookups!$A$2:$F$111,3,FALSE)),"")</f>
        <v>O</v>
      </c>
      <c r="I112" s="111" t="str">
        <f>IFERROR(IF(AF112=0,"",VLOOKUP(AF112,Lookups!$K$2:$L$6,2,TRUE)),"")</f>
        <v>A</v>
      </c>
      <c r="J112" s="111" t="str">
        <f>IF(AD112&lt;Lookups!$I$5,"Y","N")</f>
        <v>N</v>
      </c>
      <c r="K112" s="111" t="str">
        <f>IFERROR(IF(VLOOKUP(F112,Lookups!$A$2:$F$111,4,FALSE)="","",VLOOKUP(F112,Lookups!$A$2:$F$111,4,FALSE)),"")</f>
        <v>Open</v>
      </c>
      <c r="L112" s="111" t="str">
        <f>IFERROR(IF(VLOOKUP(F112,Lookups!$A$2:$F$111,5,FALSE)="","",VLOOKUP(F112,Lookups!$A$2:$F$111,5,FALSE)),"")</f>
        <v>Carisbrooke</v>
      </c>
      <c r="M112" s="112" t="str">
        <f>IFERROR(IF(VLOOKUP(F112,Lookups!$A$2:$F$111,6,FALSE)="","",VLOOKUP(F112,Lookups!$A$2:$F$111,6,FALSE)),"")</f>
        <v>Carisbrooke TRex's</v>
      </c>
      <c r="N112" s="57">
        <f>IFERROR(IF(VLOOKUP(F112,Scores!$A$1:$I$99,2,FALSE)="","",VLOOKUP(F112,Scores!$A$1:$I$99,2,FALSE)),"")</f>
        <v>28</v>
      </c>
      <c r="O112" s="58">
        <f>IFERROR(IF(VLOOKUP(F112,Scores!$A$1:$I$99,3,FALSE)="","",VLOOKUP(F112,Scores!$A$1:$I$99,3,FALSE)),"")</f>
        <v>18</v>
      </c>
      <c r="P112" s="58">
        <f>IFERROR(IF(VLOOKUP(F112,Scores!$A$1:$I$99,4,FALSE)="","",VLOOKUP(F112,Scores!$A$1:$I$99,4,FALSE)),"")</f>
        <v>30</v>
      </c>
      <c r="Q112" s="58" t="str">
        <f>IFERROR(IF(VLOOKUP(F112,Scores!$A$1:$I$99,5,FALSE)="","",VLOOKUP(F112,Scores!$A$1:$I$99,5,FALSE)),"")</f>
        <v/>
      </c>
      <c r="R112" s="58">
        <f>IFERROR(IF(VLOOKUP(F112,Scores!$A$1:$I$99,6,FALSE)="","",VLOOKUP(F112,Scores!$A$1:$I$99,6,FALSE)),"")</f>
        <v>28</v>
      </c>
      <c r="S112" s="58">
        <f>IFERROR(IF(VLOOKUP(F112,Scores!$A$1:$I$99,7,FALSE)="","",VLOOKUP(F112,Scores!$A$1:$I$99,7,FALSE)),"")</f>
        <v>28</v>
      </c>
      <c r="T112" s="58" t="str">
        <f>IFERROR(IF(VLOOKUP(F112,Scores!$A$1:$I$99,8,FALSE)="","",VLOOKUP(F112,Scores!$A$1:$I$99,8,FALSE)),"")</f>
        <v/>
      </c>
      <c r="U112" s="60" t="str">
        <f>IFERROR(IF(VLOOKUP(F112,Scores!$A$1:$I$99,9,FALSE)="","",VLOOKUP(F112,Scores!$A$1:$I$99,9,FALSE)),"")</f>
        <v/>
      </c>
      <c r="V112" s="54">
        <f t="shared" si="43"/>
        <v>0.7567567567567568</v>
      </c>
      <c r="W112" s="55">
        <f t="shared" si="44"/>
        <v>0.58064516129032262</v>
      </c>
      <c r="X112" s="55">
        <f t="shared" si="45"/>
        <v>0.81081081081081086</v>
      </c>
      <c r="Y112" s="55" t="str">
        <f t="shared" si="46"/>
        <v/>
      </c>
      <c r="Z112" s="55">
        <f t="shared" si="47"/>
        <v>0.73684210526315785</v>
      </c>
      <c r="AA112" s="55">
        <f t="shared" si="48"/>
        <v>0.7567567567567568</v>
      </c>
      <c r="AB112" s="55" t="str">
        <f t="shared" si="49"/>
        <v/>
      </c>
      <c r="AC112" s="56" t="str">
        <f t="shared" si="50"/>
        <v/>
      </c>
      <c r="AD112" s="79">
        <f t="shared" si="51"/>
        <v>5</v>
      </c>
      <c r="AE112" s="59">
        <f t="shared" si="52"/>
        <v>0.72836231817556096</v>
      </c>
      <c r="AF112" s="55" cm="1">
        <f t="array" ref="AF112">IFERROR(IF(AD112&gt;Lookups!$I$5-1,AVERAGE(LARGE(V112:AC112,_xlfn.SEQUENCE(Lookups!$I$5))),AVERAGE(LARGE(V112:AC112,_xlfn.SEQUENCE(AD112)))),"")</f>
        <v>0.76529160739687063</v>
      </c>
      <c r="AG112" s="124">
        <f t="shared" si="53"/>
        <v>132</v>
      </c>
      <c r="AH112" s="78">
        <f>IF(AD112=Lookups!$I$5+1,LARGE(V112:AC112,5),"")</f>
        <v>0.58064516129032262</v>
      </c>
      <c r="AI112" s="78" t="str">
        <f>IF(AD112=Lookups!$I$5+2,LARGE(V112:AC112,6),"")</f>
        <v/>
      </c>
      <c r="AJ112" s="78"/>
      <c r="AK112" s="78"/>
      <c r="AL112" s="140">
        <f t="shared" si="37"/>
        <v>118</v>
      </c>
      <c r="AM112" s="134">
        <f>IF(OR(AD112=0,AD112=""),"",IF(COUNTIFS($AR$6:$AR$177,"&gt;"&amp;AR112)+COUNTIFS(AR$6:AR112,"="&amp;AR112)=0,"",COUNTIFS($AR$6:$AR$177,"&gt;"&amp;AR112)+COUNTIFS(AR$6:AR112,"="&amp;AR112)))</f>
        <v>16</v>
      </c>
      <c r="AN112" s="134">
        <f>IFERROR(IF(OR(AD112=0,AD112=""),"",IF(COUNTIFS($AS$6:$AS$177,"&gt;"&amp;AS112)+COUNTIFS(AS$6:AS112,"="&amp;AS112)=0,"",COUNTIFS($AS$6:$AS$177,"&gt;"&amp;AS112)+COUNTIFS(AS$6:AS112,"="&amp;AS112)+$AM$5)),"")</f>
        <v>29</v>
      </c>
      <c r="AO112" s="134">
        <f>IFERROR(IF(OR(AD112=0,AD112=""),"",IF(COUNTIFS($AT$6:$AT$177,"&gt;"&amp;AT112)+COUNTIFS(AT$6:AT112,"="&amp;AT112)=0,"",COUNTIFS($AT$6:$AT$177,"&gt;"&amp;AT112)+COUNTIFS(AT$6:AT112,"="&amp;AT112)+$AN$5)),"")</f>
        <v>35</v>
      </c>
      <c r="AP112" s="134">
        <f>IFERROR(IF(OR(AD112=0,AD112=""),"",IF(COUNTIFS($AU$6:$AU$177,"&gt;"&amp;AU112)+COUNTIFS(AU$6:AU112,"="&amp;AU112)=0,"",COUNTIFS($AU$6:$AU$177,"&gt;"&amp;AU112)+COUNTIFS(AU$6:AU112,"="&amp;AU112)+$AO$5)),"")</f>
        <v>38</v>
      </c>
      <c r="AQ112" s="134">
        <f>IFERROR(IF(OR(AD112=0,AD112=""),"",IF(COUNTIFS($AV$6:$AV$177,"&gt;"&amp;AV112)+COUNTIFS(AV$6:AV112,"="&amp;AV112)=0,"",COUNTIFS($AV$6:$AV$177,"&gt;"&amp;AV112)+COUNTIFS(AV$6:AV112,"="&amp;AV112)+$AP$5)),"")</f>
        <v>48</v>
      </c>
      <c r="AR112" s="78">
        <f t="shared" si="38"/>
        <v>0.76529160739687063</v>
      </c>
      <c r="AS112" s="78" t="str">
        <f t="shared" si="39"/>
        <v/>
      </c>
      <c r="AT112" s="78" t="str">
        <f t="shared" si="40"/>
        <v/>
      </c>
      <c r="AU112" s="78" t="str">
        <f t="shared" si="41"/>
        <v/>
      </c>
      <c r="AV112" s="78" t="str">
        <f t="shared" si="42"/>
        <v/>
      </c>
    </row>
    <row r="113" spans="1:48" ht="16.5" customHeight="1" x14ac:dyDescent="0.3">
      <c r="A113">
        <f>IF(AD113="","",COUNTIFS($H$6:$H$120,H113,$AF$6:$AF$120,"&gt;"&amp;AF113)+COUNTIFS(H113:$H$120,H113,AF113:$AF$120,AF113))</f>
        <v>4</v>
      </c>
      <c r="C113">
        <f t="shared" si="36"/>
        <v>128</v>
      </c>
      <c r="D113">
        <f>IF(AG113=0,"",IF(COUNTIFS($AG$6:$AG$177,"&gt;"&amp;AG113)+COUNTIFS(AG$6:AG113,"="&amp;AG113)=0,"",COUNTIFS($AG$6:$AG$177,"&gt;"&amp;AG113)+COUNTIFS(AG$6:AG113,"="&amp;AG113)))</f>
        <v>24</v>
      </c>
      <c r="F113" s="61" t="s">
        <v>112</v>
      </c>
      <c r="G113" s="111">
        <f>IFERROR(IF(VLOOKUP(F113,Lookups!$A$2:$F$111,2,FALSE)="","",VLOOKUP(F113,Lookups!$A$2:$F$111,2,FALSE)),"")</f>
        <v>1559</v>
      </c>
      <c r="H113" s="111" t="str">
        <f>IFERROR(IF(VLOOKUP(F113,Lookups!$A$2:$F$111,3,FALSE)="","",VLOOKUP(F113,Lookups!$A$2:$F$111,3,FALSE)),"")</f>
        <v>O</v>
      </c>
      <c r="I113" s="111" t="str">
        <f>IFERROR(IF(AF113=0,"",VLOOKUP(AF113,Lookups!$K$2:$L$6,2,TRUE)),"")</f>
        <v>B</v>
      </c>
      <c r="J113" s="111" t="str">
        <f>IF(AD113&lt;Lookups!$I$5,"Y","N")</f>
        <v>N</v>
      </c>
      <c r="K113" s="111" t="str">
        <f>IFERROR(IF(VLOOKUP(F113,Lookups!$A$2:$F$111,4,FALSE)="","",VLOOKUP(F113,Lookups!$A$2:$F$111,4,FALSE)),"")</f>
        <v>Open</v>
      </c>
      <c r="L113" s="111" t="str">
        <f>IFERROR(IF(VLOOKUP(F113,Lookups!$A$2:$F$111,5,FALSE)="","",VLOOKUP(F113,Lookups!$A$2:$F$111,5,FALSE)),"")</f>
        <v>Newbury</v>
      </c>
      <c r="M113" s="112" t="str">
        <f>IFERROR(IF(VLOOKUP(F113,Lookups!$A$2:$F$111,6,FALSE)="","",VLOOKUP(F113,Lookups!$A$2:$F$111,6,FALSE)),"")</f>
        <v>Newbury</v>
      </c>
      <c r="N113" s="57">
        <f>IFERROR(IF(VLOOKUP(F113,Scores!$A$1:$I$99,2,FALSE)="","",VLOOKUP(F113,Scores!$A$1:$I$99,2,FALSE)),"")</f>
        <v>25</v>
      </c>
      <c r="O113" s="58" t="str">
        <f>IFERROR(IF(VLOOKUP(F113,Scores!$A$1:$I$99,3,FALSE)="","",VLOOKUP(F113,Scores!$A$1:$I$99,3,FALSE)),"")</f>
        <v/>
      </c>
      <c r="P113" s="58">
        <f>IFERROR(IF(VLOOKUP(F113,Scores!$A$1:$I$99,4,FALSE)="","",VLOOKUP(F113,Scores!$A$1:$I$99,4,FALSE)),"")</f>
        <v>23</v>
      </c>
      <c r="Q113" s="58">
        <f>IFERROR(IF(VLOOKUP(F113,Scores!$A$1:$I$99,5,FALSE)="","",VLOOKUP(F113,Scores!$A$1:$I$99,5,FALSE)),"")</f>
        <v>20</v>
      </c>
      <c r="R113" s="58">
        <f>IFERROR(IF(VLOOKUP(F113,Scores!$A$1:$I$99,6,FALSE)="","",VLOOKUP(F113,Scores!$A$1:$I$99,6,FALSE)),"")</f>
        <v>27</v>
      </c>
      <c r="S113" s="58">
        <f>IFERROR(IF(VLOOKUP(F113,Scores!$A$1:$I$99,7,FALSE)="","",VLOOKUP(F113,Scores!$A$1:$I$99,7,FALSE)),"")</f>
        <v>20</v>
      </c>
      <c r="T113" s="58" t="str">
        <f>IFERROR(IF(VLOOKUP(F113,Scores!$A$1:$I$99,8,FALSE)="","",VLOOKUP(F113,Scores!$A$1:$I$99,8,FALSE)),"")</f>
        <v/>
      </c>
      <c r="U113" s="60" t="str">
        <f>IFERROR(IF(VLOOKUP(F113,Scores!$A$1:$I$99,9,FALSE)="","",VLOOKUP(F113,Scores!$A$1:$I$99,9,FALSE)),"")</f>
        <v/>
      </c>
      <c r="V113" s="54">
        <f t="shared" si="43"/>
        <v>0.67567567567567566</v>
      </c>
      <c r="W113" s="55" t="str">
        <f t="shared" si="44"/>
        <v/>
      </c>
      <c r="X113" s="55">
        <f t="shared" si="45"/>
        <v>0.6216216216216216</v>
      </c>
      <c r="Y113" s="55">
        <f t="shared" si="46"/>
        <v>0.55555555555555558</v>
      </c>
      <c r="Z113" s="55">
        <f t="shared" si="47"/>
        <v>0.71052631578947367</v>
      </c>
      <c r="AA113" s="55">
        <f t="shared" si="48"/>
        <v>0.54054054054054057</v>
      </c>
      <c r="AB113" s="55" t="str">
        <f t="shared" si="49"/>
        <v/>
      </c>
      <c r="AC113" s="56" t="str">
        <f t="shared" si="50"/>
        <v/>
      </c>
      <c r="AD113" s="79">
        <f t="shared" si="51"/>
        <v>5</v>
      </c>
      <c r="AE113" s="59">
        <f t="shared" si="52"/>
        <v>0.62078394183657348</v>
      </c>
      <c r="AF113" s="55" cm="1">
        <f t="array" ref="AF113">IFERROR(IF(AD113&gt;Lookups!$I$5-1,AVERAGE(LARGE(V113:AC113,_xlfn.SEQUENCE(Lookups!$I$5))),AVERAGE(LARGE(V113:AC113,_xlfn.SEQUENCE(AD113)))),"")</f>
        <v>0.64084479216058154</v>
      </c>
      <c r="AG113" s="124">
        <f t="shared" si="53"/>
        <v>115</v>
      </c>
      <c r="AH113" s="78">
        <f>IF(AD113=Lookups!$I$5+1,LARGE(V113:AC113,5),"")</f>
        <v>0.54054054054054057</v>
      </c>
      <c r="AI113" s="78" t="str">
        <f>IF(AD113=Lookups!$I$5+2,LARGE(V113:AC113,6),"")</f>
        <v/>
      </c>
      <c r="AJ113" s="78"/>
      <c r="AK113" s="78"/>
      <c r="AL113" s="140">
        <f t="shared" si="37"/>
        <v>128</v>
      </c>
      <c r="AM113" s="134">
        <f>IF(OR(AD113=0,AD113=""),"",IF(COUNTIFS($AR$6:$AR$177,"&gt;"&amp;AR113)+COUNTIFS(AR$6:AR113,"="&amp;AR113)=0,"",COUNTIFS($AR$6:$AR$177,"&gt;"&amp;AR113)+COUNTIFS(AR$6:AR113,"="&amp;AR113)))</f>
        <v>26</v>
      </c>
      <c r="AN113" s="134">
        <f>IFERROR(IF(OR(AD113=0,AD113=""),"",IF(COUNTIFS($AS$6:$AS$177,"&gt;"&amp;AS113)+COUNTIFS(AS$6:AS113,"="&amp;AS113)=0,"",COUNTIFS($AS$6:$AS$177,"&gt;"&amp;AS113)+COUNTIFS(AS$6:AS113,"="&amp;AS113)+$AM$5)),"")</f>
        <v>29</v>
      </c>
      <c r="AO113" s="134">
        <f>IFERROR(IF(OR(AD113=0,AD113=""),"",IF(COUNTIFS($AT$6:$AT$177,"&gt;"&amp;AT113)+COUNTIFS(AT$6:AT113,"="&amp;AT113)=0,"",COUNTIFS($AT$6:$AT$177,"&gt;"&amp;AT113)+COUNTIFS(AT$6:AT113,"="&amp;AT113)+$AN$5)),"")</f>
        <v>35</v>
      </c>
      <c r="AP113" s="134">
        <f>IFERROR(IF(OR(AD113=0,AD113=""),"",IF(COUNTIFS($AU$6:$AU$177,"&gt;"&amp;AU113)+COUNTIFS(AU$6:AU113,"="&amp;AU113)=0,"",COUNTIFS($AU$6:$AU$177,"&gt;"&amp;AU113)+COUNTIFS(AU$6:AU113,"="&amp;AU113)+$AO$5)),"")</f>
        <v>38</v>
      </c>
      <c r="AQ113" s="134">
        <f>IFERROR(IF(OR(AD113=0,AD113=""),"",IF(COUNTIFS($AV$6:$AV$177,"&gt;"&amp;AV113)+COUNTIFS(AV$6:AV113,"="&amp;AV113)=0,"",COUNTIFS($AV$6:$AV$177,"&gt;"&amp;AV113)+COUNTIFS(AV$6:AV113,"="&amp;AV113)+$AP$5)),"")</f>
        <v>48</v>
      </c>
      <c r="AR113" s="78">
        <f t="shared" si="38"/>
        <v>0.64084479216058154</v>
      </c>
      <c r="AS113" s="78" t="str">
        <f t="shared" si="39"/>
        <v/>
      </c>
      <c r="AT113" s="78" t="str">
        <f t="shared" si="40"/>
        <v/>
      </c>
      <c r="AU113" s="78" t="str">
        <f t="shared" si="41"/>
        <v/>
      </c>
      <c r="AV113" s="78" t="str">
        <f t="shared" si="42"/>
        <v/>
      </c>
    </row>
    <row r="114" spans="1:48" ht="16.5" customHeight="1" x14ac:dyDescent="0.3">
      <c r="A114">
        <f>IF(AD114="","",COUNTIFS($H$6:$H$120,H114,$AF$6:$AF$120,"&gt;"&amp;AF114)+COUNTIFS(H114:$H$120,H114,AF114:$AF$120,AF114))</f>
        <v>1</v>
      </c>
      <c r="C114">
        <f t="shared" si="36"/>
        <v>103</v>
      </c>
      <c r="D114">
        <f>IF(AG114=0,"",IF(COUNTIFS($AG$6:$AG$177,"&gt;"&amp;AG114)+COUNTIFS(AG$6:AG114,"="&amp;AG114)=0,"",COUNTIFS($AG$6:$AG$177,"&gt;"&amp;AG114)+COUNTIFS(AG$6:AG114,"="&amp;AG114)))</f>
        <v>35</v>
      </c>
      <c r="F114" s="61" t="s">
        <v>114</v>
      </c>
      <c r="G114" s="111">
        <f>IFERROR(IF(VLOOKUP(F114,Lookups!$A$2:$F$111,2,FALSE)="","",VLOOKUP(F114,Lookups!$A$2:$F$111,2,FALSE)),"")</f>
        <v>1816</v>
      </c>
      <c r="H114" s="111" t="str">
        <f>IFERROR(IF(VLOOKUP(F114,Lookups!$A$2:$F$111,3,FALSE)="","",VLOOKUP(F114,Lookups!$A$2:$F$111,3,FALSE)),"")</f>
        <v>O</v>
      </c>
      <c r="I114" s="111" t="str">
        <f>IFERROR(IF(AF114=0,"",VLOOKUP(AF114,Lookups!$K$2:$L$6,2,TRUE)),"")</f>
        <v>A</v>
      </c>
      <c r="J114" s="111" t="str">
        <f>IF(AD114&lt;Lookups!$I$5,"Y","N")</f>
        <v>Y</v>
      </c>
      <c r="K114" s="111" t="str">
        <f>IFERROR(IF(VLOOKUP(F114,Lookups!$A$2:$F$111,4,FALSE)="","",VLOOKUP(F114,Lookups!$A$2:$F$111,4,FALSE)),"")</f>
        <v>Open</v>
      </c>
      <c r="L114" s="111" t="str">
        <f>IFERROR(IF(VLOOKUP(F114,Lookups!$A$2:$F$111,5,FALSE)="","",VLOOKUP(F114,Lookups!$A$2:$F$111,5,FALSE)),"")</f>
        <v>Frobury</v>
      </c>
      <c r="M114" s="112" t="str">
        <f>IFERROR(IF(VLOOKUP(F114,Lookups!$A$2:$F$111,6,FALSE)="","",VLOOKUP(F114,Lookups!$A$2:$F$111,6,FALSE)),"")</f>
        <v>Frobury</v>
      </c>
      <c r="N114" s="57" t="str">
        <f>IFERROR(IF(VLOOKUP(F114,Scores!$A$1:$I$99,2,FALSE)="","",VLOOKUP(F114,Scores!$A$1:$I$99,2,FALSE)),"")</f>
        <v/>
      </c>
      <c r="O114" s="58">
        <f>IFERROR(IF(VLOOKUP(F114,Scores!$A$1:$I$99,3,FALSE)="","",VLOOKUP(F114,Scores!$A$1:$I$99,3,FALSE)),"")</f>
        <v>27</v>
      </c>
      <c r="P114" s="58" t="str">
        <f>IFERROR(IF(VLOOKUP(F114,Scores!$A$1:$I$99,4,FALSE)="","",VLOOKUP(F114,Scores!$A$1:$I$99,4,FALSE)),"")</f>
        <v/>
      </c>
      <c r="Q114" s="58" t="str">
        <f>IFERROR(IF(VLOOKUP(F114,Scores!$A$1:$I$99,5,FALSE)="","",VLOOKUP(F114,Scores!$A$1:$I$99,5,FALSE)),"")</f>
        <v/>
      </c>
      <c r="R114" s="58" t="str">
        <f>IFERROR(IF(VLOOKUP(F114,Scores!$A$1:$I$99,6,FALSE)="","",VLOOKUP(F114,Scores!$A$1:$I$99,6,FALSE)),"")</f>
        <v/>
      </c>
      <c r="S114" s="58">
        <f>IFERROR(IF(VLOOKUP(F114,Scores!$A$1:$I$99,7,FALSE)="","",VLOOKUP(F114,Scores!$A$1:$I$99,7,FALSE)),"")</f>
        <v>32</v>
      </c>
      <c r="T114" s="58" t="str">
        <f>IFERROR(IF(VLOOKUP(F114,Scores!$A$1:$I$99,8,FALSE)="","",VLOOKUP(F114,Scores!$A$1:$I$99,8,FALSE)),"")</f>
        <v/>
      </c>
      <c r="U114" s="60" t="str">
        <f>IFERROR(IF(VLOOKUP(F114,Scores!$A$1:$I$99,9,FALSE)="","",VLOOKUP(F114,Scores!$A$1:$I$99,9,FALSE)),"")</f>
        <v/>
      </c>
      <c r="V114" s="54" t="str">
        <f t="shared" si="43"/>
        <v/>
      </c>
      <c r="W114" s="55">
        <f t="shared" si="44"/>
        <v>0.87096774193548387</v>
      </c>
      <c r="X114" s="55" t="str">
        <f t="shared" si="45"/>
        <v/>
      </c>
      <c r="Y114" s="55" t="str">
        <f t="shared" si="46"/>
        <v/>
      </c>
      <c r="Z114" s="55" t="str">
        <f t="shared" si="47"/>
        <v/>
      </c>
      <c r="AA114" s="55">
        <f t="shared" si="48"/>
        <v>0.86486486486486491</v>
      </c>
      <c r="AB114" s="55" t="str">
        <f t="shared" si="49"/>
        <v/>
      </c>
      <c r="AC114" s="56" t="str">
        <f t="shared" si="50"/>
        <v/>
      </c>
      <c r="AD114" s="79">
        <f t="shared" si="51"/>
        <v>2</v>
      </c>
      <c r="AE114" s="59">
        <f t="shared" si="52"/>
        <v>0.86791630340017445</v>
      </c>
      <c r="AF114" s="55" cm="1">
        <f t="array" ref="AF114">IFERROR(IF(AD114&gt;Lookups!$I$5-1,AVERAGE(LARGE(V114:AC114,_xlfn.SEQUENCE(Lookups!$I$5))),AVERAGE(LARGE(V114:AC114,_xlfn.SEQUENCE(AD114)))),"")</f>
        <v>0.86791630340017445</v>
      </c>
      <c r="AG114" s="124">
        <f t="shared" si="53"/>
        <v>59</v>
      </c>
      <c r="AH114" s="78" t="str">
        <f>IF(AD114=Lookups!$I$5+1,LARGE(V114:AC114,5),"")</f>
        <v/>
      </c>
      <c r="AI114" s="78" t="str">
        <f>IF(AD114=Lookups!$I$5+2,LARGE(V114:AC114,6),"")</f>
        <v/>
      </c>
      <c r="AJ114" s="78"/>
      <c r="AK114" s="78"/>
      <c r="AL114" s="140">
        <f t="shared" si="37"/>
        <v>103</v>
      </c>
      <c r="AM114" s="134">
        <f>IF(OR(AD114=0,AD114=""),"",IF(COUNTIFS($AR$6:$AR$177,"&gt;"&amp;AR114)+COUNTIFS(AR$6:AR114,"="&amp;AR114)=0,"",COUNTIFS($AR$6:$AR$177,"&gt;"&amp;AR114)+COUNTIFS(AR$6:AR114,"="&amp;AR114)))</f>
        <v>1</v>
      </c>
      <c r="AN114" s="134">
        <f>IFERROR(IF(OR(AD114=0,AD114=""),"",IF(COUNTIFS($AS$6:$AS$177,"&gt;"&amp;AS114)+COUNTIFS(AS$6:AS114,"="&amp;AS114)=0,"",COUNTIFS($AS$6:$AS$177,"&gt;"&amp;AS114)+COUNTIFS(AS$6:AS114,"="&amp;AS114)+$AM$5)),"")</f>
        <v>29</v>
      </c>
      <c r="AO114" s="134">
        <f>IFERROR(IF(OR(AD114=0,AD114=""),"",IF(COUNTIFS($AT$6:$AT$177,"&gt;"&amp;AT114)+COUNTIFS(AT$6:AT114,"="&amp;AT114)=0,"",COUNTIFS($AT$6:$AT$177,"&gt;"&amp;AT114)+COUNTIFS(AT$6:AT114,"="&amp;AT114)+$AN$5)),"")</f>
        <v>35</v>
      </c>
      <c r="AP114" s="134">
        <f>IFERROR(IF(OR(AD114=0,AD114=""),"",IF(COUNTIFS($AU$6:$AU$177,"&gt;"&amp;AU114)+COUNTIFS(AU$6:AU114,"="&amp;AU114)=0,"",COUNTIFS($AU$6:$AU$177,"&gt;"&amp;AU114)+COUNTIFS(AU$6:AU114,"="&amp;AU114)+$AO$5)),"")</f>
        <v>38</v>
      </c>
      <c r="AQ114" s="134">
        <f>IFERROR(IF(OR(AD114=0,AD114=""),"",IF(COUNTIFS($AV$6:$AV$177,"&gt;"&amp;AV114)+COUNTIFS(AV$6:AV114,"="&amp;AV114)=0,"",COUNTIFS($AV$6:$AV$177,"&gt;"&amp;AV114)+COUNTIFS(AV$6:AV114,"="&amp;AV114)+$AP$5)),"")</f>
        <v>48</v>
      </c>
      <c r="AR114" s="78" t="str">
        <f t="shared" si="38"/>
        <v/>
      </c>
      <c r="AS114" s="78" t="str">
        <f t="shared" si="39"/>
        <v/>
      </c>
      <c r="AT114" s="78">
        <f t="shared" si="40"/>
        <v>0.86791630340017445</v>
      </c>
      <c r="AU114" s="78" t="str">
        <f t="shared" si="41"/>
        <v/>
      </c>
      <c r="AV114" s="78" t="str">
        <f t="shared" si="42"/>
        <v/>
      </c>
    </row>
    <row r="115" spans="1:48" ht="16.5" customHeight="1" x14ac:dyDescent="0.3">
      <c r="A115" t="str">
        <f>IF(AD115="","",COUNTIFS($H$6:$H$120,H115,$AF$6:$AF$120,"&gt;"&amp;AF115)+COUNTIFS(H115:$H$120,H115,AF115:$AF$120,AF115))</f>
        <v/>
      </c>
      <c r="C115" t="str">
        <f t="shared" si="36"/>
        <v/>
      </c>
      <c r="D115" t="str">
        <f>IF(AG115=0,"",IF(COUNTIFS($AG$6:$AG$177,"&gt;"&amp;AG115)+COUNTIFS(AG$6:AG115,"="&amp;AG115)=0,"",COUNTIFS($AG$6:$AG$177,"&gt;"&amp;AG115)+COUNTIFS(AG$6:AG115,"="&amp;AG115)))</f>
        <v/>
      </c>
      <c r="F115" s="61" t="s">
        <v>110</v>
      </c>
      <c r="G115" s="111">
        <f>IFERROR(IF(VLOOKUP(F115,Lookups!$A$2:$F$111,2,FALSE)="","",VLOOKUP(F115,Lookups!$A$2:$F$111,2,FALSE)),"")</f>
        <v>1867</v>
      </c>
      <c r="H115" s="111" t="str">
        <f>IFERROR(IF(VLOOKUP(F115,Lookups!$A$2:$F$111,3,FALSE)="","",VLOOKUP(F115,Lookups!$A$2:$F$111,3,FALSE)),"")</f>
        <v>O</v>
      </c>
      <c r="I115" s="111" t="str">
        <f>IFERROR(IF(AF115=0,"",VLOOKUP(AF115,Lookups!$K$2:$L$6,2,TRUE)),"")</f>
        <v/>
      </c>
      <c r="J115" s="111" t="str">
        <f>IF(AD115&lt;Lookups!$I$5,"Y","N")</f>
        <v>N</v>
      </c>
      <c r="K115" s="111" t="str">
        <f>IFERROR(IF(VLOOKUP(F115,Lookups!$A$2:$F$111,4,FALSE)="","",VLOOKUP(F115,Lookups!$A$2:$F$111,4,FALSE)),"")</f>
        <v>Open</v>
      </c>
      <c r="L115" s="111" t="str">
        <f>IFERROR(IF(VLOOKUP(F115,Lookups!$A$2:$F$111,5,FALSE)="","",VLOOKUP(F115,Lookups!$A$2:$F$111,5,FALSE)),"")</f>
        <v>Frobury</v>
      </c>
      <c r="M115" s="112" t="str">
        <f>IFERROR(IF(VLOOKUP(F115,Lookups!$A$2:$F$111,6,FALSE)="","",VLOOKUP(F115,Lookups!$A$2:$F$111,6,FALSE)),"")</f>
        <v/>
      </c>
      <c r="N115" s="57" t="str">
        <f>IFERROR(IF(VLOOKUP(F115,Scores!$A$1:$I$99,2,FALSE)="","",VLOOKUP(F115,Scores!$A$1:$I$99,2,FALSE)),"")</f>
        <v/>
      </c>
      <c r="O115" s="58" t="str">
        <f>IFERROR(IF(VLOOKUP(F115,Scores!$A$1:$I$99,3,FALSE)="","",VLOOKUP(F115,Scores!$A$1:$I$99,3,FALSE)),"")</f>
        <v/>
      </c>
      <c r="P115" s="58" t="str">
        <f>IFERROR(IF(VLOOKUP(F115,Scores!$A$1:$I$99,4,FALSE)="","",VLOOKUP(F115,Scores!$A$1:$I$99,4,FALSE)),"")</f>
        <v/>
      </c>
      <c r="Q115" s="58" t="str">
        <f>IFERROR(IF(VLOOKUP(F115,Scores!$A$1:$I$99,5,FALSE)="","",VLOOKUP(F115,Scores!$A$1:$I$99,5,FALSE)),"")</f>
        <v/>
      </c>
      <c r="R115" s="58" t="str">
        <f>IFERROR(IF(VLOOKUP(F115,Scores!$A$1:$I$99,6,FALSE)="","",VLOOKUP(F115,Scores!$A$1:$I$99,6,FALSE)),"")</f>
        <v/>
      </c>
      <c r="S115" s="58" t="str">
        <f>IFERROR(IF(VLOOKUP(F115,Scores!$A$1:$I$99,7,FALSE)="","",VLOOKUP(F115,Scores!$A$1:$I$99,7,FALSE)),"")</f>
        <v/>
      </c>
      <c r="T115" s="58" t="str">
        <f>IFERROR(IF(VLOOKUP(F115,Scores!$A$1:$I$99,8,FALSE)="","",VLOOKUP(F115,Scores!$A$1:$I$99,8,FALSE)),"")</f>
        <v/>
      </c>
      <c r="U115" s="60" t="str">
        <f>IFERROR(IF(VLOOKUP(F115,Scores!$A$1:$I$99,9,FALSE)="","",VLOOKUP(F115,Scores!$A$1:$I$99,9,FALSE)),"")</f>
        <v/>
      </c>
      <c r="V115" s="54" t="str">
        <f t="shared" si="43"/>
        <v/>
      </c>
      <c r="W115" s="55" t="str">
        <f t="shared" si="44"/>
        <v/>
      </c>
      <c r="X115" s="55" t="str">
        <f t="shared" si="45"/>
        <v/>
      </c>
      <c r="Y115" s="55" t="str">
        <f t="shared" si="46"/>
        <v/>
      </c>
      <c r="Z115" s="55" t="str">
        <f t="shared" si="47"/>
        <v/>
      </c>
      <c r="AA115" s="55" t="str">
        <f t="shared" si="48"/>
        <v/>
      </c>
      <c r="AB115" s="55" t="str">
        <f t="shared" si="49"/>
        <v/>
      </c>
      <c r="AC115" s="56" t="str">
        <f t="shared" si="50"/>
        <v/>
      </c>
      <c r="AD115" s="79" t="str">
        <f t="shared" si="51"/>
        <v/>
      </c>
      <c r="AE115" s="59" t="str">
        <f t="shared" si="52"/>
        <v/>
      </c>
      <c r="AF115" s="55" t="str" cm="1">
        <f t="array" ref="AF115">IFERROR(IF(AD115&gt;Lookups!$I$5-1,AVERAGE(LARGE(V115:AC115,_xlfn.SEQUENCE(Lookups!$I$5))),AVERAGE(LARGE(V115:AC115,_xlfn.SEQUENCE(AD115)))),"")</f>
        <v/>
      </c>
      <c r="AG115" s="124" t="str">
        <f t="shared" si="53"/>
        <v/>
      </c>
      <c r="AH115" s="78" t="str">
        <f>IF(AD115=Lookups!$I$5+1,LARGE(V115:AC115,5),"")</f>
        <v/>
      </c>
      <c r="AI115" s="78" t="str">
        <f>IF(AD115=Lookups!$I$5+2,LARGE(V115:AC115,6),"")</f>
        <v/>
      </c>
      <c r="AJ115" s="78"/>
      <c r="AK115" s="78"/>
      <c r="AL115" s="140" t="str">
        <f t="shared" si="37"/>
        <v/>
      </c>
      <c r="AM115" s="134" t="str">
        <f>IF(OR(AD115=0,AD115=""),"",IF(COUNTIFS($AR$6:$AR$177,"&gt;"&amp;AR115)+COUNTIFS(AR$6:AR115,"="&amp;AR115)=0,"",COUNTIFS($AR$6:$AR$177,"&gt;"&amp;AR115)+COUNTIFS(AR$6:AR115,"="&amp;AR115)))</f>
        <v/>
      </c>
      <c r="AN115" s="134" t="str">
        <f>IFERROR(IF(OR(AD115=0,AD115=""),"",IF(COUNTIFS($AS$6:$AS$177,"&gt;"&amp;AS115)+COUNTIFS(AS$6:AS115,"="&amp;AS115)=0,"",COUNTIFS($AS$6:$AS$177,"&gt;"&amp;AS115)+COUNTIFS(AS$6:AS115,"="&amp;AS115)+$AM$5)),"")</f>
        <v/>
      </c>
      <c r="AO115" s="134" t="str">
        <f>IFERROR(IF(OR(AD115=0,AD115=""),"",IF(COUNTIFS($AT$6:$AT$177,"&gt;"&amp;AT115)+COUNTIFS(AT$6:AT115,"="&amp;AT115)=0,"",COUNTIFS($AT$6:$AT$177,"&gt;"&amp;AT115)+COUNTIFS(AT$6:AT115,"="&amp;AT115)+$AN$5)),"")</f>
        <v/>
      </c>
      <c r="AP115" s="134" t="str">
        <f>IFERROR(IF(OR(AD115=0,AD115=""),"",IF(COUNTIFS($AU$6:$AU$177,"&gt;"&amp;AU115)+COUNTIFS(AU$6:AU115,"="&amp;AU115)=0,"",COUNTIFS($AU$6:$AU$177,"&gt;"&amp;AU115)+COUNTIFS(AU$6:AU115,"="&amp;AU115)+$AO$5)),"")</f>
        <v/>
      </c>
      <c r="AQ115" s="134" t="str">
        <f>IFERROR(IF(OR(AD115=0,AD115=""),"",IF(COUNTIFS($AV$6:$AV$177,"&gt;"&amp;AV115)+COUNTIFS(AV$6:AV115,"="&amp;AV115)=0,"",COUNTIFS($AV$6:$AV$177,"&gt;"&amp;AV115)+COUNTIFS(AV$6:AV115,"="&amp;AV115)+$AP$5)),"")</f>
        <v/>
      </c>
      <c r="AR115" s="78" t="str">
        <f t="shared" si="38"/>
        <v/>
      </c>
      <c r="AS115" s="78" t="str">
        <f t="shared" si="39"/>
        <v/>
      </c>
      <c r="AT115" s="78" t="str">
        <f t="shared" si="40"/>
        <v/>
      </c>
      <c r="AU115" s="78" t="str">
        <f t="shared" si="41"/>
        <v/>
      </c>
      <c r="AV115" s="78" t="str">
        <f t="shared" si="42"/>
        <v/>
      </c>
    </row>
    <row r="116" spans="1:48" ht="16.5" customHeight="1" x14ac:dyDescent="0.3">
      <c r="A116" t="str">
        <f>IF(AD116="","",COUNTIFS($H$6:$H$120,H116,$AF$6:$AF$120,"&gt;"&amp;AF116)+COUNTIFS(H116:$H$120,H116,AF116:$AF$120,AF116))</f>
        <v/>
      </c>
      <c r="C116" t="str">
        <f t="shared" si="36"/>
        <v/>
      </c>
      <c r="D116" t="str">
        <f>IF(AG116=0,"",IF(COUNTIFS($AG$6:$AG$177,"&gt;"&amp;AG116)+COUNTIFS(AG$6:AG116,"="&amp;AG116)=0,"",COUNTIFS($AG$6:$AG$177,"&gt;"&amp;AG116)+COUNTIFS(AG$6:AG116,"="&amp;AG116)))</f>
        <v/>
      </c>
      <c r="F116" s="62" t="s">
        <v>115</v>
      </c>
      <c r="G116" s="111">
        <f>IFERROR(IF(VLOOKUP(F116,Lookups!$A$2:$F$111,2,FALSE)="","",VLOOKUP(F116,Lookups!$A$2:$F$111,2,FALSE)),"")</f>
        <v>1907</v>
      </c>
      <c r="H116" s="111" t="str">
        <f>IFERROR(IF(VLOOKUP(F116,Lookups!$A$2:$F$111,3,FALSE)="","",VLOOKUP(F116,Lookups!$A$2:$F$111,3,FALSE)),"")</f>
        <v>O</v>
      </c>
      <c r="I116" s="111" t="str">
        <f>IFERROR(IF(AF116=0,"",VLOOKUP(AF116,Lookups!$K$2:$L$6,2,TRUE)),"")</f>
        <v/>
      </c>
      <c r="J116" s="111" t="str">
        <f>IF(AD116&lt;Lookups!$I$5,"Y","N")</f>
        <v>N</v>
      </c>
      <c r="K116" s="111" t="str">
        <f>IFERROR(IF(VLOOKUP(F116,Lookups!$A$2:$F$111,4,FALSE)="","",VLOOKUP(F116,Lookups!$A$2:$F$111,4,FALSE)),"")</f>
        <v>Open</v>
      </c>
      <c r="L116" s="111" t="str">
        <f>IFERROR(IF(VLOOKUP(F116,Lookups!$A$2:$F$111,5,FALSE)="","",VLOOKUP(F116,Lookups!$A$2:$F$111,5,FALSE)),"")</f>
        <v>Carisbrooke</v>
      </c>
      <c r="M116" s="112" t="str">
        <f>IFERROR(IF(VLOOKUP(F116,Lookups!$A$2:$F$111,6,FALSE)="","",VLOOKUP(F116,Lookups!$A$2:$F$111,6,FALSE)),"")</f>
        <v/>
      </c>
      <c r="N116" s="57" t="str">
        <f>IFERROR(IF(VLOOKUP(F116,Scores!$A$1:$I$99,2,FALSE)="","",VLOOKUP(F116,Scores!$A$1:$I$99,2,FALSE)),"")</f>
        <v/>
      </c>
      <c r="O116" s="58" t="str">
        <f>IFERROR(IF(VLOOKUP(F116,Scores!$A$1:$I$99,3,FALSE)="","",VLOOKUP(F116,Scores!$A$1:$I$99,3,FALSE)),"")</f>
        <v/>
      </c>
      <c r="P116" s="58" t="str">
        <f>IFERROR(IF(VLOOKUP(F116,Scores!$A$1:$I$99,4,FALSE)="","",VLOOKUP(F116,Scores!$A$1:$I$99,4,FALSE)),"")</f>
        <v/>
      </c>
      <c r="Q116" s="58" t="str">
        <f>IFERROR(IF(VLOOKUP(F116,Scores!$A$1:$I$99,5,FALSE)="","",VLOOKUP(F116,Scores!$A$1:$I$99,5,FALSE)),"")</f>
        <v/>
      </c>
      <c r="R116" s="58" t="str">
        <f>IFERROR(IF(VLOOKUP(F116,Scores!$A$1:$I$99,6,FALSE)="","",VLOOKUP(F116,Scores!$A$1:$I$99,6,FALSE)),"")</f>
        <v/>
      </c>
      <c r="S116" s="58" t="str">
        <f>IFERROR(IF(VLOOKUP(F116,Scores!$A$1:$I$99,7,FALSE)="","",VLOOKUP(F116,Scores!$A$1:$I$99,7,FALSE)),"")</f>
        <v/>
      </c>
      <c r="T116" s="58" t="str">
        <f>IFERROR(IF(VLOOKUP(F116,Scores!$A$1:$I$99,8,FALSE)="","",VLOOKUP(F116,Scores!$A$1:$I$99,8,FALSE)),"")</f>
        <v/>
      </c>
      <c r="U116" s="60" t="str">
        <f>IFERROR(IF(VLOOKUP(F116,Scores!$A$1:$I$99,9,FALSE)="","",VLOOKUP(F116,Scores!$A$1:$I$99,9,FALSE)),"")</f>
        <v/>
      </c>
      <c r="V116" s="54" t="str">
        <f t="shared" si="43"/>
        <v/>
      </c>
      <c r="W116" s="55" t="str">
        <f t="shared" si="44"/>
        <v/>
      </c>
      <c r="X116" s="55" t="str">
        <f t="shared" si="45"/>
        <v/>
      </c>
      <c r="Y116" s="55" t="str">
        <f t="shared" si="46"/>
        <v/>
      </c>
      <c r="Z116" s="55" t="str">
        <f t="shared" si="47"/>
        <v/>
      </c>
      <c r="AA116" s="55" t="str">
        <f t="shared" si="48"/>
        <v/>
      </c>
      <c r="AB116" s="55" t="str">
        <f t="shared" si="49"/>
        <v/>
      </c>
      <c r="AC116" s="56" t="str">
        <f t="shared" si="50"/>
        <v/>
      </c>
      <c r="AD116" s="79" t="str">
        <f t="shared" si="51"/>
        <v/>
      </c>
      <c r="AE116" s="59" t="str">
        <f t="shared" si="52"/>
        <v/>
      </c>
      <c r="AF116" s="55" t="str" cm="1">
        <f t="array" ref="AF116">IFERROR(IF(AD116&gt;Lookups!$I$5-1,AVERAGE(LARGE(V116:AC116,_xlfn.SEQUENCE(Lookups!$I$5))),AVERAGE(LARGE(V116:AC116,_xlfn.SEQUENCE(AD116)))),"")</f>
        <v/>
      </c>
      <c r="AG116" s="124" t="str">
        <f t="shared" si="53"/>
        <v/>
      </c>
      <c r="AH116" s="78" t="str">
        <f>IF(AD116=Lookups!$I$5+1,LARGE(V116:AC116,5),"")</f>
        <v/>
      </c>
      <c r="AI116" s="78" t="str">
        <f>IF(AD116=Lookups!$I$5+2,LARGE(V116:AC116,6),"")</f>
        <v/>
      </c>
      <c r="AJ116" s="78"/>
      <c r="AK116" s="78"/>
      <c r="AL116" s="140" t="str">
        <f t="shared" si="37"/>
        <v/>
      </c>
      <c r="AM116" s="134" t="str">
        <f>IF(OR(AD116=0,AD116=""),"",IF(COUNTIFS($AR$6:$AR$177,"&gt;"&amp;AR116)+COUNTIFS(AR$6:AR116,"="&amp;AR116)=0,"",COUNTIFS($AR$6:$AR$177,"&gt;"&amp;AR116)+COUNTIFS(AR$6:AR116,"="&amp;AR116)))</f>
        <v/>
      </c>
      <c r="AN116" s="134" t="str">
        <f>IFERROR(IF(OR(AD116=0,AD116=""),"",IF(COUNTIFS($AS$6:$AS$177,"&gt;"&amp;AS116)+COUNTIFS(AS$6:AS116,"="&amp;AS116)=0,"",COUNTIFS($AS$6:$AS$177,"&gt;"&amp;AS116)+COUNTIFS(AS$6:AS116,"="&amp;AS116)+$AM$5)),"")</f>
        <v/>
      </c>
      <c r="AO116" s="134" t="str">
        <f>IFERROR(IF(OR(AD116=0,AD116=""),"",IF(COUNTIFS($AT$6:$AT$177,"&gt;"&amp;AT116)+COUNTIFS(AT$6:AT116,"="&amp;AT116)=0,"",COUNTIFS($AT$6:$AT$177,"&gt;"&amp;AT116)+COUNTIFS(AT$6:AT116,"="&amp;AT116)+$AN$5)),"")</f>
        <v/>
      </c>
      <c r="AP116" s="134" t="str">
        <f>IFERROR(IF(OR(AD116=0,AD116=""),"",IF(COUNTIFS($AU$6:$AU$177,"&gt;"&amp;AU116)+COUNTIFS(AU$6:AU116,"="&amp;AU116)=0,"",COUNTIFS($AU$6:$AU$177,"&gt;"&amp;AU116)+COUNTIFS(AU$6:AU116,"="&amp;AU116)+$AO$5)),"")</f>
        <v/>
      </c>
      <c r="AQ116" s="134" t="str">
        <f>IFERROR(IF(OR(AD116=0,AD116=""),"",IF(COUNTIFS($AV$6:$AV$177,"&gt;"&amp;AV116)+COUNTIFS(AV$6:AV116,"="&amp;AV116)=0,"",COUNTIFS($AV$6:$AV$177,"&gt;"&amp;AV116)+COUNTIFS(AV$6:AV116,"="&amp;AV116)+$AP$5)),"")</f>
        <v/>
      </c>
      <c r="AR116" s="78" t="str">
        <f t="shared" si="38"/>
        <v/>
      </c>
      <c r="AS116" s="78" t="str">
        <f t="shared" si="39"/>
        <v/>
      </c>
      <c r="AT116" s="78" t="str">
        <f t="shared" si="40"/>
        <v/>
      </c>
      <c r="AU116" s="78" t="str">
        <f t="shared" si="41"/>
        <v/>
      </c>
      <c r="AV116" s="78" t="str">
        <f t="shared" si="42"/>
        <v/>
      </c>
    </row>
    <row r="117" spans="1:48" ht="16.5" customHeight="1" x14ac:dyDescent="0.3">
      <c r="A117" t="str">
        <f>IF(AD117="","",COUNTIFS($H$6:$H$120,H117,$AF$6:$AF$120,"&gt;"&amp;AF117)+COUNTIFS(H117:$H$120,H117,AF117:$AF$120,AF117))</f>
        <v/>
      </c>
      <c r="C117" t="str">
        <f t="shared" si="36"/>
        <v/>
      </c>
      <c r="D117" t="str">
        <f>IF(AG117=0,"",IF(COUNTIFS($AG$6:$AG$177,"&gt;"&amp;AG117)+COUNTIFS(AG$6:AG117,"="&amp;AG117)=0,"",COUNTIFS($AG$6:$AG$177,"&gt;"&amp;AG117)+COUNTIFS(AG$6:AG117,"="&amp;AG117)))</f>
        <v/>
      </c>
      <c r="F117" s="61"/>
      <c r="G117" s="111" t="str">
        <f>IFERROR(IF(VLOOKUP(F117,Lookups!$A$2:$F$111,2,FALSE)="","",VLOOKUP(F117,Lookups!$A$2:$F$111,2,FALSE)),"")</f>
        <v/>
      </c>
      <c r="H117" s="111" t="str">
        <f>IFERROR(IF(VLOOKUP(F117,Lookups!$A$2:$F$111,3,FALSE)="","",VLOOKUP(F117,Lookups!$A$2:$F$111,3,FALSE)),"")</f>
        <v/>
      </c>
      <c r="I117" s="111" t="str">
        <f>IFERROR(IF(AF117=0,"",VLOOKUP(AF117,Lookups!$K$2:$L$6,2,TRUE)),"")</f>
        <v/>
      </c>
      <c r="J117" s="111" t="str">
        <f>IF(AD117&lt;Lookups!$I$5,"Y","N")</f>
        <v>N</v>
      </c>
      <c r="K117" s="111" t="str">
        <f>IFERROR(IF(VLOOKUP(F117,Lookups!$A$2:$F$111,4,FALSE)="","",VLOOKUP(F117,Lookups!$A$2:$F$111,4,FALSE)),"")</f>
        <v/>
      </c>
      <c r="L117" s="111" t="str">
        <f>IFERROR(IF(VLOOKUP(F117,Lookups!$A$2:$F$111,5,FALSE)="","",VLOOKUP(F117,Lookups!$A$2:$F$111,5,FALSE)),"")</f>
        <v/>
      </c>
      <c r="M117" s="112" t="str">
        <f>IFERROR(IF(VLOOKUP(F117,Lookups!$A$2:$F$111,6,FALSE)="","",VLOOKUP(F117,Lookups!$A$2:$F$111,6,FALSE)),"")</f>
        <v/>
      </c>
      <c r="N117" s="57" t="str">
        <f>IFERROR(IF(VLOOKUP(F117,Scores!$A$1:$I$99,2,FALSE)="","",VLOOKUP(F117,Scores!$A$1:$I$99,2,FALSE)),"")</f>
        <v/>
      </c>
      <c r="O117" s="58" t="str">
        <f>IFERROR(IF(VLOOKUP(F117,Scores!$A$1:$I$99,3,FALSE)="","",VLOOKUP(F117,Scores!$A$1:$I$99,3,FALSE)),"")</f>
        <v/>
      </c>
      <c r="P117" s="58" t="str">
        <f>IFERROR(IF(VLOOKUP(F117,Scores!$A$1:$I$99,4,FALSE)="","",VLOOKUP(F117,Scores!$A$1:$I$99,4,FALSE)),"")</f>
        <v/>
      </c>
      <c r="Q117" s="58" t="str">
        <f>IFERROR(IF(VLOOKUP(F117,Scores!$A$1:$I$99,5,FALSE)="","",VLOOKUP(F117,Scores!$A$1:$I$99,5,FALSE)),"")</f>
        <v/>
      </c>
      <c r="R117" s="58" t="str">
        <f>IFERROR(IF(VLOOKUP(F117,Scores!$A$1:$I$99,6,FALSE)="","",VLOOKUP(F117,Scores!$A$1:$I$99,6,FALSE)),"")</f>
        <v/>
      </c>
      <c r="S117" s="58" t="str">
        <f>IFERROR(IF(VLOOKUP(F117,Scores!$A$1:$I$99,7,FALSE)="","",VLOOKUP(F117,Scores!$A$1:$I$99,7,FALSE)),"")</f>
        <v/>
      </c>
      <c r="T117" s="58" t="str">
        <f>IFERROR(IF(VLOOKUP(F117,Scores!$A$1:$I$99,8,FALSE)="","",VLOOKUP(F117,Scores!$A$1:$I$99,8,FALSE)),"")</f>
        <v/>
      </c>
      <c r="U117" s="60" t="str">
        <f>IFERROR(IF(VLOOKUP(F117,Scores!$A$1:$I$99,9,FALSE)="","",VLOOKUP(F117,Scores!$A$1:$I$99,9,FALSE)),"")</f>
        <v/>
      </c>
      <c r="V117" s="54" t="str">
        <f t="shared" si="43"/>
        <v/>
      </c>
      <c r="W117" s="55" t="str">
        <f t="shared" si="44"/>
        <v/>
      </c>
      <c r="X117" s="55" t="str">
        <f t="shared" si="45"/>
        <v/>
      </c>
      <c r="Y117" s="55" t="str">
        <f t="shared" si="46"/>
        <v/>
      </c>
      <c r="Z117" s="55" t="str">
        <f t="shared" si="47"/>
        <v/>
      </c>
      <c r="AA117" s="55" t="str">
        <f t="shared" si="48"/>
        <v/>
      </c>
      <c r="AB117" s="55" t="str">
        <f t="shared" si="49"/>
        <v/>
      </c>
      <c r="AC117" s="56" t="str">
        <f t="shared" si="50"/>
        <v/>
      </c>
      <c r="AD117" s="79" t="str">
        <f t="shared" si="51"/>
        <v/>
      </c>
      <c r="AE117" s="59" t="str">
        <f t="shared" si="52"/>
        <v/>
      </c>
      <c r="AF117" s="55" t="str" cm="1">
        <f t="array" ref="AF117">IFERROR(IF(AD117&gt;Lookups!$I$5-1,AVERAGE(LARGE(V117:AC117,_xlfn.SEQUENCE(Lookups!$I$5))),AVERAGE(LARGE(V117:AC117,_xlfn.SEQUENCE(AD117)))),"")</f>
        <v/>
      </c>
      <c r="AG117" s="124" t="str">
        <f t="shared" si="53"/>
        <v/>
      </c>
      <c r="AH117" s="78" t="str">
        <f>IF(AD117=Lookups!$I$5+1,LARGE(V117:AC117,5),"")</f>
        <v/>
      </c>
      <c r="AI117" s="78" t="str">
        <f>IF(AD117=Lookups!$I$5+2,LARGE(V117:AC117,6),"")</f>
        <v/>
      </c>
      <c r="AJ117" s="78"/>
      <c r="AK117" s="78"/>
      <c r="AL117" s="140" t="str">
        <f t="shared" si="37"/>
        <v/>
      </c>
      <c r="AM117" s="134" t="str">
        <f>IF(OR(AD117=0,AD117=""),"",IF(COUNTIFS($AR$6:$AR$177,"&gt;"&amp;AR117)+COUNTIFS(AR$6:AR117,"="&amp;AR117)=0,"",COUNTIFS($AR$6:$AR$177,"&gt;"&amp;AR117)+COUNTIFS(AR$6:AR117,"="&amp;AR117)))</f>
        <v/>
      </c>
      <c r="AN117" s="134" t="str">
        <f>IFERROR(IF(OR(AD117=0,AD117=""),"",IF(COUNTIFS($AS$6:$AS$177,"&gt;"&amp;AS117)+COUNTIFS(AS$6:AS117,"="&amp;AS117)=0,"",COUNTIFS($AS$6:$AS$177,"&gt;"&amp;AS117)+COUNTIFS(AS$6:AS117,"="&amp;AS117)+$AM$5)),"")</f>
        <v/>
      </c>
      <c r="AO117" s="134" t="str">
        <f>IFERROR(IF(OR(AD117=0,AD117=""),"",IF(COUNTIFS($AT$6:$AT$177,"&gt;"&amp;AT117)+COUNTIFS(AT$6:AT117,"="&amp;AT117)=0,"",COUNTIFS($AT$6:$AT$177,"&gt;"&amp;AT117)+COUNTIFS(AT$6:AT117,"="&amp;AT117)+$AN$5)),"")</f>
        <v/>
      </c>
      <c r="AP117" s="134" t="str">
        <f>IFERROR(IF(OR(AD117=0,AD117=""),"",IF(COUNTIFS($AU$6:$AU$177,"&gt;"&amp;AU117)+COUNTIFS(AU$6:AU117,"="&amp;AU117)=0,"",COUNTIFS($AU$6:$AU$177,"&gt;"&amp;AU117)+COUNTIFS(AU$6:AU117,"="&amp;AU117)+$AO$5)),"")</f>
        <v/>
      </c>
      <c r="AQ117" s="134" t="str">
        <f>IFERROR(IF(OR(AD117=0,AD117=""),"",IF(COUNTIFS($AV$6:$AV$177,"&gt;"&amp;AV117)+COUNTIFS(AV$6:AV117,"="&amp;AV117)=0,"",COUNTIFS($AV$6:$AV$177,"&gt;"&amp;AV117)+COUNTIFS(AV$6:AV117,"="&amp;AV117)+$AP$5)),"")</f>
        <v/>
      </c>
      <c r="AR117" s="78" t="str">
        <f t="shared" si="38"/>
        <v/>
      </c>
      <c r="AS117" s="78" t="str">
        <f t="shared" si="39"/>
        <v/>
      </c>
      <c r="AT117" s="78" t="str">
        <f t="shared" si="40"/>
        <v/>
      </c>
      <c r="AU117" s="78" t="str">
        <f t="shared" si="41"/>
        <v/>
      </c>
      <c r="AV117" s="78" t="str">
        <f t="shared" si="42"/>
        <v/>
      </c>
    </row>
    <row r="118" spans="1:48" ht="16.5" customHeight="1" x14ac:dyDescent="0.3">
      <c r="A118" t="str">
        <f>IF(AD118="","",COUNTIFS($H$6:$H$120,H118,$AF$6:$AF$120,"&gt;"&amp;AF118)+COUNTIFS(H118:$H$120,H118,AF118:$AF$120,AF118))</f>
        <v/>
      </c>
      <c r="C118" t="str">
        <f t="shared" si="36"/>
        <v/>
      </c>
      <c r="D118" t="str">
        <f>IF(AG118=0,"",IF(COUNTIFS($AG$6:$AG$177,"&gt;"&amp;AG118)+COUNTIFS(AG$6:AG118,"="&amp;AG118)=0,"",COUNTIFS($AG$6:$AG$177,"&gt;"&amp;AG118)+COUNTIFS(AG$6:AG118,"="&amp;AG118)))</f>
        <v/>
      </c>
      <c r="F118" s="61"/>
      <c r="G118" s="111" t="str">
        <f>IFERROR(IF(VLOOKUP(F118,Lookups!$A$2:$F$111,2,FALSE)="","",VLOOKUP(F118,Lookups!$A$2:$F$111,2,FALSE)),"")</f>
        <v/>
      </c>
      <c r="H118" s="111" t="str">
        <f>IFERROR(IF(VLOOKUP(F118,Lookups!$A$2:$F$111,3,FALSE)="","",VLOOKUP(F118,Lookups!$A$2:$F$111,3,FALSE)),"")</f>
        <v/>
      </c>
      <c r="I118" s="111" t="str">
        <f>IFERROR(IF(AF118=0,"",VLOOKUP(AF118,Lookups!$K$2:$L$6,2,TRUE)),"")</f>
        <v/>
      </c>
      <c r="J118" s="111" t="str">
        <f>IF(AD118&lt;Lookups!$I$5,"Y","N")</f>
        <v>N</v>
      </c>
      <c r="K118" s="111" t="str">
        <f>IFERROR(IF(VLOOKUP(F118,Lookups!$A$2:$F$111,4,FALSE)="","",VLOOKUP(F118,Lookups!$A$2:$F$111,4,FALSE)),"")</f>
        <v/>
      </c>
      <c r="L118" s="111" t="str">
        <f>IFERROR(IF(VLOOKUP(F118,Lookups!$A$2:$F$111,5,FALSE)="","",VLOOKUP(F118,Lookups!$A$2:$F$111,5,FALSE)),"")</f>
        <v/>
      </c>
      <c r="M118" s="112" t="str">
        <f>IFERROR(IF(VLOOKUP(F118,Lookups!$A$2:$F$111,6,FALSE)="","",VLOOKUP(F118,Lookups!$A$2:$F$111,6,FALSE)),"")</f>
        <v/>
      </c>
      <c r="N118" s="57" t="str">
        <f>IFERROR(IF(VLOOKUP(F118,Scores!$A$1:$I$99,2,FALSE)="","",VLOOKUP(F118,Scores!$A$1:$I$99,2,FALSE)),"")</f>
        <v/>
      </c>
      <c r="O118" s="58" t="str">
        <f>IFERROR(IF(VLOOKUP(F118,Scores!$A$1:$I$99,3,FALSE)="","",VLOOKUP(F118,Scores!$A$1:$I$99,3,FALSE)),"")</f>
        <v/>
      </c>
      <c r="P118" s="58" t="str">
        <f>IFERROR(IF(VLOOKUP(F118,Scores!$A$1:$I$99,4,FALSE)="","",VLOOKUP(F118,Scores!$A$1:$I$99,4,FALSE)),"")</f>
        <v/>
      </c>
      <c r="Q118" s="58" t="str">
        <f>IFERROR(IF(VLOOKUP(F118,Scores!$A$1:$I$99,5,FALSE)="","",VLOOKUP(F118,Scores!$A$1:$I$99,5,FALSE)),"")</f>
        <v/>
      </c>
      <c r="R118" s="58" t="str">
        <f>IFERROR(IF(VLOOKUP(F118,Scores!$A$1:$I$99,6,FALSE)="","",VLOOKUP(F118,Scores!$A$1:$I$99,6,FALSE)),"")</f>
        <v/>
      </c>
      <c r="S118" s="58" t="str">
        <f>IFERROR(IF(VLOOKUP(F118,Scores!$A$1:$I$99,7,FALSE)="","",VLOOKUP(F118,Scores!$A$1:$I$99,7,FALSE)),"")</f>
        <v/>
      </c>
      <c r="T118" s="58" t="str">
        <f>IFERROR(IF(VLOOKUP(F118,Scores!$A$1:$I$99,8,FALSE)="","",VLOOKUP(F118,Scores!$A$1:$I$99,8,FALSE)),"")</f>
        <v/>
      </c>
      <c r="U118" s="60" t="str">
        <f>IFERROR(IF(VLOOKUP(F118,Scores!$A$1:$I$99,9,FALSE)="","",VLOOKUP(F118,Scores!$A$1:$I$99,9,FALSE)),"")</f>
        <v/>
      </c>
      <c r="V118" s="54" t="str">
        <f t="shared" si="43"/>
        <v/>
      </c>
      <c r="W118" s="55" t="str">
        <f t="shared" si="44"/>
        <v/>
      </c>
      <c r="X118" s="55" t="str">
        <f t="shared" si="45"/>
        <v/>
      </c>
      <c r="Y118" s="55" t="str">
        <f t="shared" si="46"/>
        <v/>
      </c>
      <c r="Z118" s="55" t="str">
        <f t="shared" si="47"/>
        <v/>
      </c>
      <c r="AA118" s="55" t="str">
        <f t="shared" si="48"/>
        <v/>
      </c>
      <c r="AB118" s="55" t="str">
        <f t="shared" si="49"/>
        <v/>
      </c>
      <c r="AC118" s="56" t="str">
        <f t="shared" si="50"/>
        <v/>
      </c>
      <c r="AD118" s="79" t="str">
        <f t="shared" si="51"/>
        <v/>
      </c>
      <c r="AE118" s="59" t="str">
        <f t="shared" si="52"/>
        <v/>
      </c>
      <c r="AF118" s="55" t="str" cm="1">
        <f t="array" ref="AF118">IFERROR(IF(AD118&gt;Lookups!$I$5-1,AVERAGE(LARGE(V118:AC118,_xlfn.SEQUENCE(Lookups!$I$5))),AVERAGE(LARGE(V118:AC118,_xlfn.SEQUENCE(AD118)))),"")</f>
        <v/>
      </c>
      <c r="AG118" s="124" t="str">
        <f t="shared" si="53"/>
        <v/>
      </c>
      <c r="AH118" s="78" t="str">
        <f>IF(AD118=Lookups!$I$5+1,LARGE(V118:AC118,5),"")</f>
        <v/>
      </c>
      <c r="AI118" s="78" t="str">
        <f>IF(AD118=Lookups!$I$5+2,LARGE(V118:AC118,6),"")</f>
        <v/>
      </c>
      <c r="AJ118" s="78"/>
      <c r="AK118" s="78"/>
      <c r="AL118" s="140" t="str">
        <f t="shared" si="37"/>
        <v/>
      </c>
      <c r="AM118" s="134" t="str">
        <f>IF(OR(AD118=0,AD118=""),"",IF(COUNTIFS($AR$6:$AR$177,"&gt;"&amp;AR118)+COUNTIFS(AR$6:AR118,"="&amp;AR118)=0,"",COUNTIFS($AR$6:$AR$177,"&gt;"&amp;AR118)+COUNTIFS(AR$6:AR118,"="&amp;AR118)))</f>
        <v/>
      </c>
      <c r="AN118" s="134" t="str">
        <f>IFERROR(IF(OR(AD118=0,AD118=""),"",IF(COUNTIFS($AS$6:$AS$177,"&gt;"&amp;AS118)+COUNTIFS(AS$6:AS118,"="&amp;AS118)=0,"",COUNTIFS($AS$6:$AS$177,"&gt;"&amp;AS118)+COUNTIFS(AS$6:AS118,"="&amp;AS118)+$AM$5)),"")</f>
        <v/>
      </c>
      <c r="AO118" s="134" t="str">
        <f>IFERROR(IF(OR(AD118=0,AD118=""),"",IF(COUNTIFS($AT$6:$AT$177,"&gt;"&amp;AT118)+COUNTIFS(AT$6:AT118,"="&amp;AT118)=0,"",COUNTIFS($AT$6:$AT$177,"&gt;"&amp;AT118)+COUNTIFS(AT$6:AT118,"="&amp;AT118)+$AN$5)),"")</f>
        <v/>
      </c>
      <c r="AP118" s="134" t="str">
        <f>IFERROR(IF(OR(AD118=0,AD118=""),"",IF(COUNTIFS($AU$6:$AU$177,"&gt;"&amp;AU118)+COUNTIFS(AU$6:AU118,"="&amp;AU118)=0,"",COUNTIFS($AU$6:$AU$177,"&gt;"&amp;AU118)+COUNTIFS(AU$6:AU118,"="&amp;AU118)+$AO$5)),"")</f>
        <v/>
      </c>
      <c r="AQ118" s="134" t="str">
        <f>IFERROR(IF(OR(AD118=0,AD118=""),"",IF(COUNTIFS($AV$6:$AV$177,"&gt;"&amp;AV118)+COUNTIFS(AV$6:AV118,"="&amp;AV118)=0,"",COUNTIFS($AV$6:$AV$177,"&gt;"&amp;AV118)+COUNTIFS(AV$6:AV118,"="&amp;AV118)+$AP$5)),"")</f>
        <v/>
      </c>
      <c r="AR118" s="78" t="str">
        <f t="shared" si="38"/>
        <v/>
      </c>
      <c r="AS118" s="78" t="str">
        <f t="shared" si="39"/>
        <v/>
      </c>
      <c r="AT118" s="78" t="str">
        <f t="shared" si="40"/>
        <v/>
      </c>
      <c r="AU118" s="78" t="str">
        <f t="shared" si="41"/>
        <v/>
      </c>
      <c r="AV118" s="78" t="str">
        <f t="shared" si="42"/>
        <v/>
      </c>
    </row>
    <row r="119" spans="1:48" ht="16.5" customHeight="1" x14ac:dyDescent="0.3">
      <c r="A119" t="str">
        <f>IF(AD119="","",COUNTIFS($H$6:$H$120,H119,$AF$6:$AF$120,"&gt;"&amp;AF119)+COUNTIFS(H119:$H$120,H119,AF119:$AF$120,AF119))</f>
        <v/>
      </c>
      <c r="C119" t="str">
        <f t="shared" si="36"/>
        <v/>
      </c>
      <c r="D119" t="str">
        <f>IF(AG119=0,"",IF(COUNTIFS($AG$6:$AG$177,"&gt;"&amp;AG119)+COUNTIFS(AG$6:AG119,"="&amp;AG119)=0,"",COUNTIFS($AG$6:$AG$177,"&gt;"&amp;AG119)+COUNTIFS(AG$6:AG119,"="&amp;AG119)))</f>
        <v/>
      </c>
      <c r="F119" s="61"/>
      <c r="G119" s="111" t="str">
        <f>IFERROR(IF(VLOOKUP(F119,Lookups!$A$2:$F$111,2,FALSE)="","",VLOOKUP(F119,Lookups!$A$2:$F$111,2,FALSE)),"")</f>
        <v/>
      </c>
      <c r="H119" s="111" t="str">
        <f>IFERROR(IF(VLOOKUP(F119,Lookups!$A$2:$F$111,3,FALSE)="","",VLOOKUP(F119,Lookups!$A$2:$F$111,3,FALSE)),"")</f>
        <v/>
      </c>
      <c r="I119" s="111" t="str">
        <f>IFERROR(IF(AF119=0,"",VLOOKUP(AF119,Lookups!$K$2:$L$6,2,TRUE)),"")</f>
        <v/>
      </c>
      <c r="J119" s="111" t="str">
        <f>IF(AD119&lt;Lookups!$I$5,"Y","N")</f>
        <v>N</v>
      </c>
      <c r="K119" s="111" t="str">
        <f>IFERROR(IF(VLOOKUP(F119,Lookups!$A$2:$F$111,4,FALSE)="","",VLOOKUP(F119,Lookups!$A$2:$F$111,4,FALSE)),"")</f>
        <v/>
      </c>
      <c r="L119" s="111" t="str">
        <f>IFERROR(IF(VLOOKUP(F119,Lookups!$A$2:$F$111,5,FALSE)="","",VLOOKUP(F119,Lookups!$A$2:$F$111,5,FALSE)),"")</f>
        <v/>
      </c>
      <c r="M119" s="112" t="str">
        <f>IFERROR(IF(VLOOKUP(F119,Lookups!$A$2:$F$111,6,FALSE)="","",VLOOKUP(F119,Lookups!$A$2:$F$111,6,FALSE)),"")</f>
        <v/>
      </c>
      <c r="N119" s="57" t="str">
        <f>IFERROR(IF(VLOOKUP(F119,Scores!$A$1:$I$99,2,FALSE)="","",VLOOKUP(F119,Scores!$A$1:$I$99,2,FALSE)),"")</f>
        <v/>
      </c>
      <c r="O119" s="58" t="str">
        <f>IFERROR(IF(VLOOKUP(F119,Scores!$A$1:$I$99,3,FALSE)="","",VLOOKUP(F119,Scores!$A$1:$I$99,3,FALSE)),"")</f>
        <v/>
      </c>
      <c r="P119" s="58" t="str">
        <f>IFERROR(IF(VLOOKUP(F119,Scores!$A$1:$I$99,4,FALSE)="","",VLOOKUP(F119,Scores!$A$1:$I$99,4,FALSE)),"")</f>
        <v/>
      </c>
      <c r="Q119" s="58" t="str">
        <f>IFERROR(IF(VLOOKUP(F119,Scores!$A$1:$I$99,5,FALSE)="","",VLOOKUP(F119,Scores!$A$1:$I$99,5,FALSE)),"")</f>
        <v/>
      </c>
      <c r="R119" s="58" t="str">
        <f>IFERROR(IF(VLOOKUP(F119,Scores!$A$1:$I$99,6,FALSE)="","",VLOOKUP(F119,Scores!$A$1:$I$99,6,FALSE)),"")</f>
        <v/>
      </c>
      <c r="S119" s="58" t="str">
        <f>IFERROR(IF(VLOOKUP(F119,Scores!$A$1:$I$99,7,FALSE)="","",VLOOKUP(F119,Scores!$A$1:$I$99,7,FALSE)),"")</f>
        <v/>
      </c>
      <c r="T119" s="58" t="str">
        <f>IFERROR(IF(VLOOKUP(F119,Scores!$A$1:$I$99,8,FALSE)="","",VLOOKUP(F119,Scores!$A$1:$I$99,8,FALSE)),"")</f>
        <v/>
      </c>
      <c r="U119" s="60" t="str">
        <f>IFERROR(IF(VLOOKUP(F119,Scores!$A$1:$I$99,9,FALSE)="","",VLOOKUP(F119,Scores!$A$1:$I$99,9,FALSE)),"")</f>
        <v/>
      </c>
      <c r="V119" s="54" t="str">
        <f t="shared" si="43"/>
        <v/>
      </c>
      <c r="W119" s="55" t="str">
        <f t="shared" si="44"/>
        <v/>
      </c>
      <c r="X119" s="55" t="str">
        <f t="shared" si="45"/>
        <v/>
      </c>
      <c r="Y119" s="55" t="str">
        <f t="shared" si="46"/>
        <v/>
      </c>
      <c r="Z119" s="55" t="str">
        <f t="shared" si="47"/>
        <v/>
      </c>
      <c r="AA119" s="55" t="str">
        <f t="shared" si="48"/>
        <v/>
      </c>
      <c r="AB119" s="55" t="str">
        <f t="shared" si="49"/>
        <v/>
      </c>
      <c r="AC119" s="56" t="str">
        <f t="shared" si="50"/>
        <v/>
      </c>
      <c r="AD119" s="79" t="str">
        <f t="shared" si="51"/>
        <v/>
      </c>
      <c r="AE119" s="59" t="str">
        <f t="shared" si="52"/>
        <v/>
      </c>
      <c r="AF119" s="55" t="str" cm="1">
        <f t="array" ref="AF119">IFERROR(IF(AD119&gt;Lookups!$I$5-1,AVERAGE(LARGE(V119:AC119,_xlfn.SEQUENCE(Lookups!$I$5))),AVERAGE(LARGE(V119:AC119,_xlfn.SEQUENCE(AD119)))),"")</f>
        <v/>
      </c>
      <c r="AG119" s="124" t="str">
        <f t="shared" si="53"/>
        <v/>
      </c>
      <c r="AH119" s="78" t="str">
        <f>IF(AD119=Lookups!$I$5+1,LARGE(V119:AC119,5),"")</f>
        <v/>
      </c>
      <c r="AI119" s="78" t="str">
        <f>IF(AD119=Lookups!$I$5+2,LARGE(V119:AC119,6),"")</f>
        <v/>
      </c>
      <c r="AJ119" s="78"/>
      <c r="AK119" s="78"/>
      <c r="AL119" s="140" t="str">
        <f t="shared" si="37"/>
        <v/>
      </c>
      <c r="AM119" s="134" t="str">
        <f>IF(OR(AD119=0,AD119=""),"",IF(COUNTIFS($AR$6:$AR$177,"&gt;"&amp;AR119)+COUNTIFS(AR$6:AR119,"="&amp;AR119)=0,"",COUNTIFS($AR$6:$AR$177,"&gt;"&amp;AR119)+COUNTIFS(AR$6:AR119,"="&amp;AR119)))</f>
        <v/>
      </c>
      <c r="AN119" s="134" t="str">
        <f>IFERROR(IF(OR(AD119=0,AD119=""),"",IF(COUNTIFS($AS$6:$AS$177,"&gt;"&amp;AS119)+COUNTIFS(AS$6:AS119,"="&amp;AS119)=0,"",COUNTIFS($AS$6:$AS$177,"&gt;"&amp;AS119)+COUNTIFS(AS$6:AS119,"="&amp;AS119)+$AM$5)),"")</f>
        <v/>
      </c>
      <c r="AO119" s="134" t="str">
        <f>IFERROR(IF(OR(AD119=0,AD119=""),"",IF(COUNTIFS($AT$6:$AT$177,"&gt;"&amp;AT119)+COUNTIFS(AT$6:AT119,"="&amp;AT119)=0,"",COUNTIFS($AT$6:$AT$177,"&gt;"&amp;AT119)+COUNTIFS(AT$6:AT119,"="&amp;AT119)+$AN$5)),"")</f>
        <v/>
      </c>
      <c r="AP119" s="134" t="str">
        <f>IFERROR(IF(OR(AD119=0,AD119=""),"",IF(COUNTIFS($AU$6:$AU$177,"&gt;"&amp;AU119)+COUNTIFS(AU$6:AU119,"="&amp;AU119)=0,"",COUNTIFS($AU$6:$AU$177,"&gt;"&amp;AU119)+COUNTIFS(AU$6:AU119,"="&amp;AU119)+$AO$5)),"")</f>
        <v/>
      </c>
      <c r="AQ119" s="134" t="str">
        <f>IFERROR(IF(OR(AD119=0,AD119=""),"",IF(COUNTIFS($AV$6:$AV$177,"&gt;"&amp;AV119)+COUNTIFS(AV$6:AV119,"="&amp;AV119)=0,"",COUNTIFS($AV$6:$AV$177,"&gt;"&amp;AV119)+COUNTIFS(AV$6:AV119,"="&amp;AV119)+$AP$5)),"")</f>
        <v/>
      </c>
      <c r="AR119" s="78" t="str">
        <f t="shared" si="38"/>
        <v/>
      </c>
      <c r="AS119" s="78" t="str">
        <f t="shared" si="39"/>
        <v/>
      </c>
      <c r="AT119" s="78" t="str">
        <f t="shared" si="40"/>
        <v/>
      </c>
      <c r="AU119" s="78" t="str">
        <f t="shared" si="41"/>
        <v/>
      </c>
      <c r="AV119" s="78" t="str">
        <f t="shared" si="42"/>
        <v/>
      </c>
    </row>
    <row r="120" spans="1:48" ht="16.5" customHeight="1" x14ac:dyDescent="0.3">
      <c r="A120" s="121" t="str">
        <f>IF(AD120="","",COUNTIFS($H$6:$H$120,H120,$AF$6:$AF$120,"&gt;"&amp;AF120)+COUNTIFS(H120:$H$120,H120,AF120:$AF$120,AF120))</f>
        <v/>
      </c>
      <c r="B120" s="121"/>
      <c r="C120" t="str">
        <f t="shared" si="36"/>
        <v/>
      </c>
      <c r="D120" s="121" t="str">
        <f>IF(AG120=0,"",IF(COUNTIFS($AG$6:$AG$177,"&gt;"&amp;AG120)+COUNTIFS(AG$6:AG120,"="&amp;AG120)=0,"",COUNTIFS($AG$6:$AG$177,"&gt;"&amp;AG120)+COUNTIFS(AG$6:AG120,"="&amp;AG120)))</f>
        <v/>
      </c>
      <c r="E120" s="121"/>
      <c r="F120" s="61"/>
      <c r="G120" s="111" t="str">
        <f>IFERROR(IF(VLOOKUP(F120,Lookups!$A$2:$F$111,2,FALSE)="","",VLOOKUP(F120,Lookups!$A$2:$F$111,2,FALSE)),"")</f>
        <v/>
      </c>
      <c r="H120" s="111" t="str">
        <f>IFERROR(IF(VLOOKUP(F120,Lookups!$A$2:$F$111,3,FALSE)="","",VLOOKUP(F120,Lookups!$A$2:$F$111,3,FALSE)),"")</f>
        <v/>
      </c>
      <c r="I120" s="111" t="str">
        <f>IFERROR(IF(AF120=0,"",VLOOKUP(AF120,Lookups!$K$2:$L$6,2,TRUE)),"")</f>
        <v/>
      </c>
      <c r="J120" s="111" t="str">
        <f>IF(AD120&lt;Lookups!$I$5,"Y","N")</f>
        <v>N</v>
      </c>
      <c r="K120" s="111" t="str">
        <f>IFERROR(IF(VLOOKUP(F120,Lookups!$A$2:$F$111,4,FALSE)="","",VLOOKUP(F120,Lookups!$A$2:$F$111,4,FALSE)),"")</f>
        <v/>
      </c>
      <c r="L120" s="111" t="str">
        <f>IFERROR(IF(VLOOKUP(F120,Lookups!$A$2:$F$111,5,FALSE)="","",VLOOKUP(F120,Lookups!$A$2:$F$111,5,FALSE)),"")</f>
        <v/>
      </c>
      <c r="M120" s="112" t="str">
        <f>IFERROR(IF(VLOOKUP(F120,Lookups!$A$2:$F$111,6,FALSE)="","",VLOOKUP(F120,Lookups!$A$2:$F$111,6,FALSE)),"")</f>
        <v/>
      </c>
      <c r="N120" s="57" t="str">
        <f>IFERROR(IF(VLOOKUP(F120,Scores!$A$1:$I$99,2,FALSE)="","",VLOOKUP(F120,Scores!$A$1:$I$99,2,FALSE)),"")</f>
        <v/>
      </c>
      <c r="O120" s="58" t="str">
        <f>IFERROR(IF(VLOOKUP(F120,Scores!$A$1:$I$99,3,FALSE)="","",VLOOKUP(F120,Scores!$A$1:$I$99,3,FALSE)),"")</f>
        <v/>
      </c>
      <c r="P120" s="58" t="str">
        <f>IFERROR(IF(VLOOKUP(F120,Scores!$A$1:$I$99,4,FALSE)="","",VLOOKUP(F120,Scores!$A$1:$I$99,4,FALSE)),"")</f>
        <v/>
      </c>
      <c r="Q120" s="58" t="str">
        <f>IFERROR(IF(VLOOKUP(F120,Scores!$A$1:$I$99,5,FALSE)="","",VLOOKUP(F120,Scores!$A$1:$I$99,5,FALSE)),"")</f>
        <v/>
      </c>
      <c r="R120" s="58" t="str">
        <f>IFERROR(IF(VLOOKUP(F120,Scores!$A$1:$I$99,6,FALSE)="","",VLOOKUP(F120,Scores!$A$1:$I$99,6,FALSE)),"")</f>
        <v/>
      </c>
      <c r="S120" s="58" t="str">
        <f>IFERROR(IF(VLOOKUP(F120,Scores!$A$1:$I$99,7,FALSE)="","",VLOOKUP(F120,Scores!$A$1:$I$99,7,FALSE)),"")</f>
        <v/>
      </c>
      <c r="T120" s="58" t="str">
        <f>IFERROR(IF(VLOOKUP(F120,Scores!$A$1:$I$99,8,FALSE)="","",VLOOKUP(F120,Scores!$A$1:$I$99,8,FALSE)),"")</f>
        <v/>
      </c>
      <c r="U120" s="60" t="str">
        <f>IFERROR(IF(VLOOKUP(F120,Scores!$A$1:$I$99,9,FALSE)="","",VLOOKUP(F120,Scores!$A$1:$I$99,9,FALSE)),"")</f>
        <v/>
      </c>
      <c r="V120" s="54" t="str">
        <f t="shared" si="43"/>
        <v/>
      </c>
      <c r="W120" s="55" t="str">
        <f t="shared" si="44"/>
        <v/>
      </c>
      <c r="X120" s="55" t="str">
        <f t="shared" si="45"/>
        <v/>
      </c>
      <c r="Y120" s="55" t="str">
        <f t="shared" si="46"/>
        <v/>
      </c>
      <c r="Z120" s="55" t="str">
        <f t="shared" si="47"/>
        <v/>
      </c>
      <c r="AA120" s="55" t="str">
        <f t="shared" si="48"/>
        <v/>
      </c>
      <c r="AB120" s="55" t="str">
        <f t="shared" si="49"/>
        <v/>
      </c>
      <c r="AC120" s="56" t="str">
        <f t="shared" si="50"/>
        <v/>
      </c>
      <c r="AD120" s="79" t="str">
        <f t="shared" si="51"/>
        <v/>
      </c>
      <c r="AE120" s="59" t="str">
        <f t="shared" si="52"/>
        <v/>
      </c>
      <c r="AF120" s="55" t="str" cm="1">
        <f t="array" ref="AF120">IFERROR(IF(AD120&gt;Lookups!$I$5-1,AVERAGE(LARGE(V120:AC120,_xlfn.SEQUENCE(Lookups!$I$5))),AVERAGE(LARGE(V120:AC120,_xlfn.SEQUENCE(AD120)))),"")</f>
        <v/>
      </c>
      <c r="AG120" s="124" t="str">
        <f t="shared" si="53"/>
        <v/>
      </c>
      <c r="AH120" s="139" t="str">
        <f>IF(AD120=Lookups!$I$5+1,LARGE(V120:AC120,5),"")</f>
        <v/>
      </c>
      <c r="AI120" s="139" t="str">
        <f>IF(AD120=Lookups!$I$5+2,LARGE(V120:AC120,6),"")</f>
        <v/>
      </c>
      <c r="AJ120" s="139"/>
      <c r="AK120" s="139"/>
      <c r="AL120" s="140" t="str">
        <f t="shared" si="37"/>
        <v/>
      </c>
      <c r="AM120" s="134" t="str">
        <f>IF(OR(AD120=0,AD120=""),"",IF(COUNTIFS($AR$6:$AR$177,"&gt;"&amp;AR120)+COUNTIFS(AR$6:AR120,"="&amp;AR120)=0,"",COUNTIFS($AR$6:$AR$177,"&gt;"&amp;AR120)+COUNTIFS(AR$6:AR120,"="&amp;AR120)))</f>
        <v/>
      </c>
      <c r="AN120" s="134" t="str">
        <f>IFERROR(IF(OR(AD120=0,AD120=""),"",IF(COUNTIFS($AS$6:$AS$177,"&gt;"&amp;AS120)+COUNTIFS(AS$6:AS120,"="&amp;AS120)=0,"",COUNTIFS($AS$6:$AS$177,"&gt;"&amp;AS120)+COUNTIFS(AS$6:AS120,"="&amp;AS120)+$AM$5)),"")</f>
        <v/>
      </c>
      <c r="AO120" s="134" t="str">
        <f>IFERROR(IF(OR(AD120=0,AD120=""),"",IF(COUNTIFS($AT$6:$AT$177,"&gt;"&amp;AT120)+COUNTIFS(AT$6:AT120,"="&amp;AT120)=0,"",COUNTIFS($AT$6:$AT$177,"&gt;"&amp;AT120)+COUNTIFS(AT$6:AT120,"="&amp;AT120)+$AN$5)),"")</f>
        <v/>
      </c>
      <c r="AP120" s="134" t="str">
        <f>IFERROR(IF(OR(AD120=0,AD120=""),"",IF(COUNTIFS($AU$6:$AU$177,"&gt;"&amp;AU120)+COUNTIFS(AU$6:AU120,"="&amp;AU120)=0,"",COUNTIFS($AU$6:$AU$177,"&gt;"&amp;AU120)+COUNTIFS(AU$6:AU120,"="&amp;AU120)+$AO$5)),"")</f>
        <v/>
      </c>
      <c r="AQ120" s="134" t="str">
        <f>IFERROR(IF(OR(AD120=0,AD120=""),"",IF(COUNTIFS($AV$6:$AV$177,"&gt;"&amp;AV120)+COUNTIFS(AV$6:AV120,"="&amp;AV120)=0,"",COUNTIFS($AV$6:$AV$177,"&gt;"&amp;AV120)+COUNTIFS(AV$6:AV120,"="&amp;AV120)+$AP$5)),"")</f>
        <v/>
      </c>
      <c r="AR120" s="78" t="str">
        <f t="shared" si="38"/>
        <v/>
      </c>
      <c r="AS120" s="78" t="str">
        <f t="shared" si="39"/>
        <v/>
      </c>
      <c r="AT120" s="78" t="str">
        <f t="shared" si="40"/>
        <v/>
      </c>
      <c r="AU120" s="78" t="str">
        <f t="shared" si="41"/>
        <v/>
      </c>
      <c r="AV120" s="78" t="str">
        <f t="shared" si="42"/>
        <v/>
      </c>
    </row>
    <row r="121" spans="1:48" ht="16.5" customHeight="1" x14ac:dyDescent="0.3">
      <c r="A121" t="str">
        <f>IF(AD121="","",COUNTIFS($H$6:$H$120,H121,$AF$6:$AF$120,"&gt;"&amp;AF121)+COUNTIFS(H$120:$H121,H121,AF$120:$AF121,AF121))</f>
        <v/>
      </c>
      <c r="B121" t="str">
        <f>IF(AD121=0,"",IF(COUNTIFS($AE$6:$AE$177,"&gt;"&amp;AE121)+COUNTIFS(AE$6:AE121,"="&amp;AE121)=0,"",COUNTIFS($AE$6:$AE$177,"&gt;"&amp;AE121)+COUNTIFS(AE$6:AE121,"="&amp;AE121)))</f>
        <v/>
      </c>
      <c r="D121" t="str">
        <f>IF(AG121=0,"",IF(COUNTIFS($AG$6:$AG$177,"&gt;"&amp;AG121)+COUNTIFS(AG$6:AG121,"="&amp;AG121)=0,"",COUNTIFS($AG$6:$AG$177,"&gt;"&amp;AG121)+COUNTIFS(AG$6:AG121,"="&amp;AG121)))</f>
        <v/>
      </c>
      <c r="F121" s="135"/>
      <c r="G121" s="52" t="str">
        <f>IFERROR(IF(VLOOKUP(F121,Lookups!$A$2:$F$111,2,FALSE)="","",VLOOKUP(F121,Lookups!$A$2:$F$111,2,FALSE)),"")</f>
        <v/>
      </c>
      <c r="H121" s="52" t="str">
        <f>IFERROR(IF(VLOOKUP(F121,Lookups!$A$2:$F$111,3,FALSE)="","",VLOOKUP(F121,Lookups!$A$2:$F$111,3,FALSE)),"")</f>
        <v/>
      </c>
      <c r="I121" s="52" t="str">
        <f>IFERROR(IF(AF121=0,"",VLOOKUP(AF121,Lookups!$K$2:$L$6,2,TRUE)),"")</f>
        <v/>
      </c>
      <c r="J121" s="52" t="str">
        <f>IF(AD121&lt;Lookups!$I$5,"Y","N")</f>
        <v>N</v>
      </c>
      <c r="K121" s="52" t="str">
        <f>IFERROR(IF(VLOOKUP(F121,Lookups!$A$2:$F$111,4,FALSE)="","",VLOOKUP(F121,Lookups!$A$2:$F$111,4,FALSE)),"")</f>
        <v/>
      </c>
      <c r="L121" s="52"/>
      <c r="M121" s="53" t="str">
        <f>IFERROR(IF(VLOOKUP(F121,Lookups!$A$2:$F$111,6,FALSE)="","",VLOOKUP(F121,Lookups!$A$2:$F$111,6,FALSE)),"")</f>
        <v/>
      </c>
      <c r="N121" s="79" t="str">
        <f>IFERROR(IF(VLOOKUP(F121,Scores!$A$1:$I$99,2,FALSE)="","",VLOOKUP(F121,Scores!$A$1:$I$99,2,FALSE)),"")</f>
        <v/>
      </c>
      <c r="O121" s="136" t="str">
        <f>IFERROR(IF(VLOOKUP(F121,Scores!$A$1:$I$99,3,FALSE)="","",VLOOKUP(F121,Scores!$A$1:$I$99,3,FALSE)),"")</f>
        <v/>
      </c>
      <c r="P121" s="136" t="str">
        <f>IFERROR(IF(VLOOKUP(F121,Scores!$A$1:$I$99,4,FALSE)="","",VLOOKUP(F121,Scores!$A$1:$I$99,4,FALSE)),"")</f>
        <v/>
      </c>
      <c r="Q121" s="136" t="str">
        <f>IFERROR(IF(VLOOKUP(F121,Scores!$A$1:$I$99,5,FALSE)="","",VLOOKUP(F121,Scores!$A$1:$I$99,5,FALSE)),"")</f>
        <v/>
      </c>
      <c r="R121" s="136" t="str">
        <f>IFERROR(IF(VLOOKUP(F121,Scores!$A$1:$I$99,6,FALSE)="","",VLOOKUP(F121,Scores!$A$1:$I$99,6,FALSE)),"")</f>
        <v/>
      </c>
      <c r="S121" s="136" t="str">
        <f>IFERROR(IF(VLOOKUP(F121,Scores!$A$1:$I$99,7,FALSE)="","",VLOOKUP(F121,Scores!$A$1:$I$99,7,FALSE)),"")</f>
        <v/>
      </c>
      <c r="T121" s="136" t="str">
        <f>IFERROR(IF(VLOOKUP(F121,Scores!$A$1:$I$99,8,FALSE)="","",VLOOKUP(F121,Scores!$A$1:$I$99,8,FALSE)),"")</f>
        <v/>
      </c>
      <c r="U121" s="124" t="str">
        <f>IFERROR(IF(VLOOKUP(F121,Scores!$A$1:$I$99,9,FALSE)="","",VLOOKUP(F121,Scores!$A$1:$I$99,9,FALSE)),"")</f>
        <v/>
      </c>
      <c r="V121" s="137" t="str">
        <f t="shared" si="43"/>
        <v/>
      </c>
      <c r="W121" s="59" t="str">
        <f t="shared" si="44"/>
        <v/>
      </c>
      <c r="X121" s="59" t="str">
        <f t="shared" si="45"/>
        <v/>
      </c>
      <c r="Y121" s="59" t="str">
        <f t="shared" si="46"/>
        <v/>
      </c>
      <c r="Z121" s="59" t="str">
        <f t="shared" si="47"/>
        <v/>
      </c>
      <c r="AA121" s="59" t="str">
        <f t="shared" si="48"/>
        <v/>
      </c>
      <c r="AB121" s="59" t="str">
        <f t="shared" si="49"/>
        <v/>
      </c>
      <c r="AC121" s="138" t="str">
        <f t="shared" si="50"/>
        <v/>
      </c>
      <c r="AD121" s="79" t="str">
        <f t="shared" si="51"/>
        <v/>
      </c>
      <c r="AE121" s="59" t="str">
        <f t="shared" si="52"/>
        <v/>
      </c>
      <c r="AF121" s="59" t="str" cm="1">
        <f t="array" ref="AF121">IFERROR(IF(AD121&gt;Lookups!$I$5-1,AVERAGE(LARGE(V121:AC121,_xlfn.SEQUENCE(Lookups!$I$5))),AVERAGE(LARGE(V121:AC121,_xlfn.SEQUENCE(AD121)))),"")</f>
        <v/>
      </c>
      <c r="AG121" s="124" t="str">
        <f t="shared" si="53"/>
        <v/>
      </c>
      <c r="AH121" s="78" t="str">
        <f>IF(AD121=Lookups!$I$5+1,LARGE(V121:AC121,5),"")</f>
        <v/>
      </c>
      <c r="AI121" s="78" t="str">
        <f>IF(AD121=Lookups!$I$5+2,LARGE(V121:AC121,6),"")</f>
        <v/>
      </c>
      <c r="AJ121" s="78"/>
      <c r="AK121" s="78"/>
      <c r="AL121" s="141"/>
      <c r="AM121" s="78"/>
      <c r="AN121" s="78"/>
      <c r="AO121" s="78"/>
      <c r="AP121" s="78"/>
      <c r="AQ121" s="78"/>
    </row>
    <row r="122" spans="1:48" ht="16.5" customHeight="1" x14ac:dyDescent="0.3">
      <c r="A122" t="str">
        <f>IF(AD122="","",COUNTIFS($H$6:$H$120,H122,$AF$6:$AF$120,"&gt;"&amp;AF122)+COUNTIFS(H$120:$H122,H122,AF$120:$AF122,AF122))</f>
        <v/>
      </c>
      <c r="B122" t="str">
        <f>IF(AD122=0,"",IF(COUNTIFS($AE$6:$AE$177,"&gt;"&amp;AE122)+COUNTIFS(AE$6:AE122,"="&amp;AE122)=0,"",COUNTIFS($AE$6:$AE$177,"&gt;"&amp;AE122)+COUNTIFS(AE$6:AE122,"="&amp;AE122)))</f>
        <v/>
      </c>
      <c r="D122" t="str">
        <f>IF(AG122=0,"",IF(COUNTIFS($AG$6:$AG$177,"&gt;"&amp;AG122)+COUNTIFS(AG$6:AG122,"="&amp;AG122)=0,"",COUNTIFS($AG$6:$AG$177,"&gt;"&amp;AG122)+COUNTIFS(AG$6:AG122,"="&amp;AG122)))</f>
        <v/>
      </c>
      <c r="F122" s="21" t="s">
        <v>116</v>
      </c>
      <c r="G122" s="52" t="str">
        <f>IFERROR(IF(VLOOKUP(F122,Lookups!$A$2:$F$111,2,FALSE)="","",VLOOKUP(F122,Lookups!$A$2:$F$111,2,FALSE)),"")</f>
        <v/>
      </c>
      <c r="H122" s="52" t="str">
        <f>IFERROR(IF(VLOOKUP(F122,Lookups!$A$2:$F$111,3,FALSE)="","",VLOOKUP(F122,Lookups!$A$2:$F$111,3,FALSE)),"")</f>
        <v>Visitor</v>
      </c>
      <c r="I122" s="52" t="str">
        <f>IFERROR(IF(AF122=0,"",VLOOKUP(AF122,Lookups!$K$2:$L$6,2,TRUE)),"")</f>
        <v/>
      </c>
      <c r="J122" s="52" t="str">
        <f>IF(AD122&lt;Lookups!$I$5,"Y","N")</f>
        <v>N</v>
      </c>
      <c r="K122" s="52" t="str">
        <f>IFERROR(IF(VLOOKUP(F122,Lookups!$A$2:$F$111,4,FALSE)="","",VLOOKUP(F122,Lookups!$A$2:$F$111,4,FALSE)),"")</f>
        <v>PCP</v>
      </c>
      <c r="L122" s="52" t="str">
        <f>IFERROR(IF(VLOOKUP(F122,Lookups!$A$2:$F$111,5,FALSE)="","",VLOOKUP(F122,Lookups!$A$2:$F$111,5,FALSE)),"")</f>
        <v>Visitor</v>
      </c>
      <c r="M122" s="53" t="str">
        <f>IFERROR(IF(VLOOKUP(F122,Lookups!$A$2:$F$111,6,FALSE)="","",VLOOKUP(F122,Lookups!$A$2:$F$111,6,FALSE)),"")</f>
        <v/>
      </c>
      <c r="N122" s="57" t="str">
        <f>IFERROR(IF(VLOOKUP(F122,Scores!$A$1:$I$99,2,FALSE)="","",VLOOKUP(F122,Scores!$A$1:$I$99,2,FALSE)),"")</f>
        <v/>
      </c>
      <c r="O122" s="58" t="str">
        <f>IFERROR(IF(VLOOKUP(F122,Scores!$A$1:$I$99,3,FALSE)="","",VLOOKUP(F122,Scores!$A$1:$I$99,3,FALSE)),"")</f>
        <v/>
      </c>
      <c r="P122" s="58" t="str">
        <f>IFERROR(IF(VLOOKUP(F122,Scores!$A$1:$I$99,4,FALSE)="","",VLOOKUP(F122,Scores!$A$1:$I$99,4,FALSE)),"")</f>
        <v/>
      </c>
      <c r="Q122" s="58" t="str">
        <f>IFERROR(IF(VLOOKUP(F122,Scores!$A$1:$I$99,5,FALSE)="","",VLOOKUP(F122,Scores!$A$1:$I$99,5,FALSE)),"")</f>
        <v/>
      </c>
      <c r="R122" s="58" t="str">
        <f>IFERROR(IF(VLOOKUP(F122,Scores!$A$1:$I$99,6,FALSE)="","",VLOOKUP(F122,Scores!$A$1:$I$99,6,FALSE)),"")</f>
        <v/>
      </c>
      <c r="S122" s="58" t="str">
        <f>IFERROR(IF(VLOOKUP(F122,Scores!$A$1:$I$99,7,FALSE)="","",VLOOKUP(F122,Scores!$A$1:$I$99,7,FALSE)),"")</f>
        <v/>
      </c>
      <c r="T122" s="58" t="str">
        <f>IFERROR(IF(VLOOKUP(F122,Scores!$A$1:$I$99,8,FALSE)="","",VLOOKUP(F122,Scores!$A$1:$I$99,8,FALSE)),"")</f>
        <v/>
      </c>
      <c r="U122" s="60" t="str">
        <f>IFERROR(IF(VLOOKUP(F122,Scores!$A$1:$I$99,9,FALSE)="","",VLOOKUP(F122,Scores!$A$1:$I$99,9,FALSE)),"")</f>
        <v/>
      </c>
      <c r="V122" s="54" t="str">
        <f t="shared" si="43"/>
        <v/>
      </c>
      <c r="W122" s="55" t="str">
        <f t="shared" si="44"/>
        <v/>
      </c>
      <c r="X122" s="55" t="str">
        <f t="shared" si="45"/>
        <v/>
      </c>
      <c r="Y122" s="55" t="str">
        <f t="shared" si="46"/>
        <v/>
      </c>
      <c r="Z122" s="55" t="str">
        <f t="shared" si="47"/>
        <v/>
      </c>
      <c r="AA122" s="55" t="str">
        <f t="shared" si="48"/>
        <v/>
      </c>
      <c r="AB122" s="55" t="str">
        <f t="shared" si="49"/>
        <v/>
      </c>
      <c r="AC122" s="56" t="str">
        <f t="shared" si="50"/>
        <v/>
      </c>
      <c r="AD122" s="79" t="str">
        <f t="shared" si="51"/>
        <v/>
      </c>
      <c r="AE122" s="59" t="str">
        <f t="shared" si="52"/>
        <v/>
      </c>
      <c r="AF122" s="55" t="str" cm="1">
        <f t="array" ref="AF122">IFERROR(IF(AD122&gt;Lookups!$I$5-1,AVERAGE(LARGE(V122:AC122,_xlfn.SEQUENCE(Lookups!$I$5))),AVERAGE(LARGE(V122:AC122,_xlfn.SEQUENCE(AD122)))),"")</f>
        <v/>
      </c>
      <c r="AG122" s="124" t="str">
        <f t="shared" si="53"/>
        <v/>
      </c>
      <c r="AH122" s="78" t="str">
        <f>IF(AD122=Lookups!$I$5+1,LARGE(V122:AC122,5),"")</f>
        <v/>
      </c>
      <c r="AI122" s="78" t="str">
        <f>IF(AD122=Lookups!$I$5+2,LARGE(V122:AC122,6),"")</f>
        <v/>
      </c>
      <c r="AJ122" s="78"/>
      <c r="AK122" s="78"/>
      <c r="AL122" s="141"/>
      <c r="AM122" s="78"/>
      <c r="AN122" s="78"/>
      <c r="AO122" s="78"/>
      <c r="AP122" s="78"/>
      <c r="AQ122" s="78"/>
    </row>
    <row r="123" spans="1:48" ht="16.5" customHeight="1" x14ac:dyDescent="0.3">
      <c r="A123" t="str">
        <f>IF(AD123="","",COUNTIFS($H$6:$H$120,H123,$AF$6:$AF$120,"&gt;"&amp;AF123)+COUNTIFS(H$120:$H123,H123,AF$120:$AF123,AF123))</f>
        <v/>
      </c>
      <c r="B123" t="str">
        <f>IF(AD123=0,"",IF(COUNTIFS($AE$6:$AE$177,"&gt;"&amp;AE123)+COUNTIFS(AE$6:AE123,"="&amp;AE123)=0,"",COUNTIFS($AE$6:$AE$177,"&gt;"&amp;AE123)+COUNTIFS(AE$6:AE123,"="&amp;AE123)))</f>
        <v/>
      </c>
      <c r="D123" t="str">
        <f>IF(AG123=0,"",IF(COUNTIFS($AG$6:$AG$177,"&gt;"&amp;AG123)+COUNTIFS(AG$6:AG123,"="&amp;AG123)=0,"",COUNTIFS($AG$6:$AG$177,"&gt;"&amp;AG123)+COUNTIFS(AG$6:AG123,"="&amp;AG123)))</f>
        <v/>
      </c>
      <c r="F123" s="21" t="s">
        <v>117</v>
      </c>
      <c r="G123" s="52" t="str">
        <f>IFERROR(IF(VLOOKUP(F123,Lookups!$A$2:$F$111,2,FALSE)="","",VLOOKUP(F123,Lookups!$A$2:$F$111,2,FALSE)),"")</f>
        <v/>
      </c>
      <c r="H123" s="52" t="str">
        <f>IFERROR(IF(VLOOKUP(F123,Lookups!$A$2:$F$111,3,FALSE)="","",VLOOKUP(F123,Lookups!$A$2:$F$111,3,FALSE)),"")</f>
        <v>Visitor</v>
      </c>
      <c r="I123" s="52" t="str">
        <f>IFERROR(IF(AF123=0,"",VLOOKUP(AF123,Lookups!$K$2:$L$6,2,TRUE)),"")</f>
        <v/>
      </c>
      <c r="J123" s="52" t="str">
        <f>IF(AD123&lt;Lookups!$I$5,"Y","N")</f>
        <v>N</v>
      </c>
      <c r="K123" s="52" t="str">
        <f>IFERROR(IF(VLOOKUP(F123,Lookups!$A$2:$F$111,4,FALSE)="","",VLOOKUP(F123,Lookups!$A$2:$F$111,4,FALSE)),"")</f>
        <v>PCP</v>
      </c>
      <c r="L123" s="52" t="str">
        <f>IFERROR(IF(VLOOKUP(F123,Lookups!$A$2:$F$111,5,FALSE)="","",VLOOKUP(F123,Lookups!$A$2:$F$111,5,FALSE)),"")</f>
        <v>Visitor</v>
      </c>
      <c r="M123" s="53" t="str">
        <f>IFERROR(IF(VLOOKUP(F123,Lookups!$A$2:$F$111,6,FALSE)="","",VLOOKUP(F123,Lookups!$A$2:$F$111,6,FALSE)),"")</f>
        <v/>
      </c>
      <c r="N123" s="57" t="str">
        <f>IFERROR(IF(VLOOKUP(F123,Scores!$A$1:$I$99,2,FALSE)="","",VLOOKUP(F123,Scores!$A$1:$I$99,2,FALSE)),"")</f>
        <v/>
      </c>
      <c r="O123" s="58" t="str">
        <f>IFERROR(IF(VLOOKUP(F123,Scores!$A$1:$I$99,3,FALSE)="","",VLOOKUP(F123,Scores!$A$1:$I$99,3,FALSE)),"")</f>
        <v/>
      </c>
      <c r="P123" s="58" t="str">
        <f>IFERROR(IF(VLOOKUP(F123,Scores!$A$1:$I$99,4,FALSE)="","",VLOOKUP(F123,Scores!$A$1:$I$99,4,FALSE)),"")</f>
        <v/>
      </c>
      <c r="Q123" s="58" t="str">
        <f>IFERROR(IF(VLOOKUP(F123,Scores!$A$1:$I$99,5,FALSE)="","",VLOOKUP(F123,Scores!$A$1:$I$99,5,FALSE)),"")</f>
        <v/>
      </c>
      <c r="R123" s="58" t="str">
        <f>IFERROR(IF(VLOOKUP(F123,Scores!$A$1:$I$99,6,FALSE)="","",VLOOKUP(F123,Scores!$A$1:$I$99,6,FALSE)),"")</f>
        <v/>
      </c>
      <c r="S123" s="58" t="str">
        <f>IFERROR(IF(VLOOKUP(F123,Scores!$A$1:$I$99,7,FALSE)="","",VLOOKUP(F123,Scores!$A$1:$I$99,7,FALSE)),"")</f>
        <v/>
      </c>
      <c r="T123" s="58" t="str">
        <f>IFERROR(IF(VLOOKUP(F123,Scores!$A$1:$I$99,8,FALSE)="","",VLOOKUP(F123,Scores!$A$1:$I$99,8,FALSE)),"")</f>
        <v/>
      </c>
      <c r="U123" s="60" t="str">
        <f>IFERROR(IF(VLOOKUP(F123,Scores!$A$1:$I$99,9,FALSE)="","",VLOOKUP(F123,Scores!$A$1:$I$99,9,FALSE)),"")</f>
        <v/>
      </c>
      <c r="V123" s="54" t="str">
        <f t="shared" si="43"/>
        <v/>
      </c>
      <c r="W123" s="55" t="str">
        <f t="shared" si="44"/>
        <v/>
      </c>
      <c r="X123" s="55" t="str">
        <f t="shared" si="45"/>
        <v/>
      </c>
      <c r="Y123" s="55" t="str">
        <f t="shared" si="46"/>
        <v/>
      </c>
      <c r="Z123" s="55" t="str">
        <f t="shared" si="47"/>
        <v/>
      </c>
      <c r="AA123" s="55" t="str">
        <f t="shared" si="48"/>
        <v/>
      </c>
      <c r="AB123" s="55" t="str">
        <f t="shared" si="49"/>
        <v/>
      </c>
      <c r="AC123" s="56" t="str">
        <f t="shared" si="50"/>
        <v/>
      </c>
      <c r="AD123" s="79" t="str">
        <f t="shared" si="51"/>
        <v/>
      </c>
      <c r="AE123" s="59" t="str">
        <f t="shared" si="52"/>
        <v/>
      </c>
      <c r="AF123" s="55" t="str" cm="1">
        <f t="array" ref="AF123">IFERROR(IF(AD123&gt;Lookups!$I$5-1,AVERAGE(LARGE(V123:AC123,_xlfn.SEQUENCE(Lookups!$I$5))),AVERAGE(LARGE(V123:AC123,_xlfn.SEQUENCE(AD123)))),"")</f>
        <v/>
      </c>
      <c r="AG123" s="124" t="str">
        <f t="shared" si="53"/>
        <v/>
      </c>
      <c r="AH123" s="78" t="str">
        <f>IF(AD123=Lookups!$I$5+1,LARGE(V123:AC123,5),"")</f>
        <v/>
      </c>
      <c r="AI123" s="78" t="str">
        <f>IF(AD123=Lookups!$I$5+2,LARGE(V123:AC123,6),"")</f>
        <v/>
      </c>
      <c r="AJ123" s="78"/>
      <c r="AK123" s="78"/>
      <c r="AL123" s="141"/>
      <c r="AM123" s="78"/>
      <c r="AN123" s="78"/>
      <c r="AO123" s="78"/>
      <c r="AP123" s="78"/>
      <c r="AQ123" s="78"/>
    </row>
    <row r="124" spans="1:48" ht="16.5" customHeight="1" x14ac:dyDescent="0.3">
      <c r="A124" t="str">
        <f>IF(AD124="","",COUNTIFS($H$6:$H$120,H124,$AF$6:$AF$120,"&gt;"&amp;AF124)+COUNTIFS(H$120:$H124,H124,AF$120:$AF124,AF124))</f>
        <v/>
      </c>
      <c r="B124" t="str">
        <f>IF(AD124=0,"",IF(COUNTIFS($AE$6:$AE$177,"&gt;"&amp;AE124)+COUNTIFS(AE$6:AE124,"="&amp;AE124)=0,"",COUNTIFS($AE$6:$AE$177,"&gt;"&amp;AE124)+COUNTIFS(AE$6:AE124,"="&amp;AE124)))</f>
        <v/>
      </c>
      <c r="D124" t="str">
        <f>IF(AG124=0,"",IF(COUNTIFS($AG$6:$AG$177,"&gt;"&amp;AG124)+COUNTIFS(AG$6:AG124,"="&amp;AG124)=0,"",COUNTIFS($AG$6:$AG$177,"&gt;"&amp;AG124)+COUNTIFS(AG$6:AG124,"="&amp;AG124)))</f>
        <v/>
      </c>
      <c r="F124" s="21" t="s">
        <v>118</v>
      </c>
      <c r="G124" s="52" t="str">
        <f>IFERROR(IF(VLOOKUP(F124,Lookups!$A$2:$F$111,2,FALSE)="","",VLOOKUP(F124,Lookups!$A$2:$F$111,2,FALSE)),"")</f>
        <v/>
      </c>
      <c r="H124" s="52" t="str">
        <f>IFERROR(IF(VLOOKUP(F124,Lookups!$A$2:$F$111,3,FALSE)="","",VLOOKUP(F124,Lookups!$A$2:$F$111,3,FALSE)),"")</f>
        <v>Visitor</v>
      </c>
      <c r="I124" s="52" t="str">
        <f>IFERROR(IF(AF124=0,"",VLOOKUP(AF124,Lookups!$K$2:$L$6,2,TRUE)),"")</f>
        <v/>
      </c>
      <c r="J124" s="52" t="str">
        <f>IF(AD124&lt;Lookups!$I$5,"Y","N")</f>
        <v>N</v>
      </c>
      <c r="K124" s="52" t="str">
        <f>IFERROR(IF(VLOOKUP(F124,Lookups!$A$2:$F$111,4,FALSE)="","",VLOOKUP(F124,Lookups!$A$2:$F$111,4,FALSE)),"")</f>
        <v>PCP</v>
      </c>
      <c r="L124" s="52" t="str">
        <f>IFERROR(IF(VLOOKUP(F124,Lookups!$A$2:$F$111,5,FALSE)="","",VLOOKUP(F124,Lookups!$A$2:$F$111,5,FALSE)),"")</f>
        <v>Visitor</v>
      </c>
      <c r="M124" s="53" t="str">
        <f>IFERROR(IF(VLOOKUP(F124,Lookups!$A$2:$F$111,6,FALSE)="","",VLOOKUP(F124,Lookups!$A$2:$F$111,6,FALSE)),"")</f>
        <v/>
      </c>
      <c r="N124" s="57" t="str">
        <f>IFERROR(IF(VLOOKUP(F124,Scores!$A$1:$I$99,2,FALSE)="","",VLOOKUP(F124,Scores!$A$1:$I$99,2,FALSE)),"")</f>
        <v/>
      </c>
      <c r="O124" s="58" t="str">
        <f>IFERROR(IF(VLOOKUP(F124,Scores!$A$1:$I$99,3,FALSE)="","",VLOOKUP(F124,Scores!$A$1:$I$99,3,FALSE)),"")</f>
        <v/>
      </c>
      <c r="P124" s="58" t="str">
        <f>IFERROR(IF(VLOOKUP(F124,Scores!$A$1:$I$99,4,FALSE)="","",VLOOKUP(F124,Scores!$A$1:$I$99,4,FALSE)),"")</f>
        <v/>
      </c>
      <c r="Q124" s="58" t="str">
        <f>IFERROR(IF(VLOOKUP(F124,Scores!$A$1:$I$99,5,FALSE)="","",VLOOKUP(F124,Scores!$A$1:$I$99,5,FALSE)),"")</f>
        <v/>
      </c>
      <c r="R124" s="58" t="str">
        <f>IFERROR(IF(VLOOKUP(F124,Scores!$A$1:$I$99,6,FALSE)="","",VLOOKUP(F124,Scores!$A$1:$I$99,6,FALSE)),"")</f>
        <v/>
      </c>
      <c r="S124" s="58" t="str">
        <f>IFERROR(IF(VLOOKUP(F124,Scores!$A$1:$I$99,7,FALSE)="","",VLOOKUP(F124,Scores!$A$1:$I$99,7,FALSE)),"")</f>
        <v/>
      </c>
      <c r="T124" s="58" t="str">
        <f>IFERROR(IF(VLOOKUP(F124,Scores!$A$1:$I$99,8,FALSE)="","",VLOOKUP(F124,Scores!$A$1:$I$99,8,FALSE)),"")</f>
        <v/>
      </c>
      <c r="U124" s="60" t="str">
        <f>IFERROR(IF(VLOOKUP(F124,Scores!$A$1:$I$99,9,FALSE)="","",VLOOKUP(F124,Scores!$A$1:$I$99,9,FALSE)),"")</f>
        <v/>
      </c>
      <c r="V124" s="54" t="str">
        <f t="shared" si="43"/>
        <v/>
      </c>
      <c r="W124" s="55" t="str">
        <f t="shared" si="44"/>
        <v/>
      </c>
      <c r="X124" s="55" t="str">
        <f t="shared" si="45"/>
        <v/>
      </c>
      <c r="Y124" s="55" t="str">
        <f t="shared" si="46"/>
        <v/>
      </c>
      <c r="Z124" s="55" t="str">
        <f t="shared" si="47"/>
        <v/>
      </c>
      <c r="AA124" s="55" t="str">
        <f t="shared" si="48"/>
        <v/>
      </c>
      <c r="AB124" s="55" t="str">
        <f t="shared" si="49"/>
        <v/>
      </c>
      <c r="AC124" s="56" t="str">
        <f t="shared" si="50"/>
        <v/>
      </c>
      <c r="AD124" s="79" t="str">
        <f t="shared" si="51"/>
        <v/>
      </c>
      <c r="AE124" s="59" t="str">
        <f t="shared" si="52"/>
        <v/>
      </c>
      <c r="AF124" s="55" t="str" cm="1">
        <f t="array" ref="AF124">IFERROR(IF(AD124&gt;Lookups!$I$5-1,AVERAGE(LARGE(V124:AC124,_xlfn.SEQUENCE(Lookups!$I$5))),AVERAGE(LARGE(V124:AC124,_xlfn.SEQUENCE(AD124)))),"")</f>
        <v/>
      </c>
      <c r="AG124" s="124" t="str">
        <f t="shared" si="53"/>
        <v/>
      </c>
      <c r="AH124" s="78" t="str">
        <f>IF(AD124=Lookups!$I$5+1,LARGE(V124:AC124,5),"")</f>
        <v/>
      </c>
      <c r="AI124" s="78" t="str">
        <f>IF(AD124=Lookups!$I$5+2,LARGE(V124:AC124,6),"")</f>
        <v/>
      </c>
      <c r="AJ124" s="78"/>
      <c r="AK124" s="78"/>
      <c r="AL124" s="141"/>
      <c r="AM124" s="78"/>
      <c r="AN124" s="78"/>
      <c r="AO124" s="78"/>
      <c r="AP124" s="78"/>
      <c r="AQ124" s="78"/>
    </row>
    <row r="125" spans="1:48" ht="16.5" customHeight="1" x14ac:dyDescent="0.3">
      <c r="A125" t="str">
        <f>IF(AD125="","",COUNTIFS($H$6:$H$120,H125,$AF$6:$AF$120,"&gt;"&amp;AF125)+COUNTIFS(H$120:$H125,H125,AF$120:$AF125,AF125))</f>
        <v/>
      </c>
      <c r="B125" t="str">
        <f>IF(AD125=0,"",IF(COUNTIFS($AE$6:$AE$177,"&gt;"&amp;AE125)+COUNTIFS(AE$6:AE125,"="&amp;AE125)=0,"",COUNTIFS($AE$6:$AE$177,"&gt;"&amp;AE125)+COUNTIFS(AE$6:AE125,"="&amp;AE125)))</f>
        <v/>
      </c>
      <c r="D125" t="str">
        <f>IF(AG125=0,"",IF(COUNTIFS($AG$6:$AG$177,"&gt;"&amp;AG125)+COUNTIFS(AG$6:AG125,"="&amp;AG125)=0,"",COUNTIFS($AG$6:$AG$177,"&gt;"&amp;AG125)+COUNTIFS(AG$6:AG125,"="&amp;AG125)))</f>
        <v/>
      </c>
      <c r="F125" s="21" t="s">
        <v>119</v>
      </c>
      <c r="G125" s="52" t="str">
        <f>IFERROR(IF(VLOOKUP(F125,Lookups!$A$2:$F$111,2,FALSE)="","",VLOOKUP(F125,Lookups!$A$2:$F$111,2,FALSE)),"")</f>
        <v/>
      </c>
      <c r="H125" s="52" t="str">
        <f>IFERROR(IF(VLOOKUP(F125,Lookups!$A$2:$F$111,3,FALSE)="","",VLOOKUP(F125,Lookups!$A$2:$F$111,3,FALSE)),"")</f>
        <v>Visitor</v>
      </c>
      <c r="I125" s="52" t="str">
        <f>IFERROR(IF(AF125=0,"",VLOOKUP(AF125,Lookups!$K$2:$L$6,2,TRUE)),"")</f>
        <v/>
      </c>
      <c r="J125" s="52" t="str">
        <f>IF(AD125&lt;Lookups!$I$5,"Y","N")</f>
        <v>N</v>
      </c>
      <c r="K125" s="52" t="str">
        <f>IFERROR(IF(VLOOKUP(F125,Lookups!$A$2:$F$111,4,FALSE)="","",VLOOKUP(F125,Lookups!$A$2:$F$111,4,FALSE)),"")</f>
        <v>PCP</v>
      </c>
      <c r="L125" s="52" t="str">
        <f>IFERROR(IF(VLOOKUP(F125,Lookups!$A$2:$F$111,5,FALSE)="","",VLOOKUP(F125,Lookups!$A$2:$F$111,5,FALSE)),"")</f>
        <v>Visitor</v>
      </c>
      <c r="M125" s="53" t="str">
        <f>IFERROR(IF(VLOOKUP(F125,Lookups!$A$2:$F$111,6,FALSE)="","",VLOOKUP(F125,Lookups!$A$2:$F$111,6,FALSE)),"")</f>
        <v/>
      </c>
      <c r="N125" s="57" t="str">
        <f>IFERROR(IF(VLOOKUP(F125,Scores!$A$1:$I$99,2,FALSE)="","",VLOOKUP(F125,Scores!$A$1:$I$99,2,FALSE)),"")</f>
        <v/>
      </c>
      <c r="O125" s="58" t="str">
        <f>IFERROR(IF(VLOOKUP(F125,Scores!$A$1:$I$99,3,FALSE)="","",VLOOKUP(F125,Scores!$A$1:$I$99,3,FALSE)),"")</f>
        <v/>
      </c>
      <c r="P125" s="58" t="str">
        <f>IFERROR(IF(VLOOKUP(F125,Scores!$A$1:$I$99,4,FALSE)="","",VLOOKUP(F125,Scores!$A$1:$I$99,4,FALSE)),"")</f>
        <v/>
      </c>
      <c r="Q125" s="58" t="str">
        <f>IFERROR(IF(VLOOKUP(F125,Scores!$A$1:$I$99,5,FALSE)="","",VLOOKUP(F125,Scores!$A$1:$I$99,5,FALSE)),"")</f>
        <v/>
      </c>
      <c r="R125" s="58" t="str">
        <f>IFERROR(IF(VLOOKUP(F125,Scores!$A$1:$I$99,6,FALSE)="","",VLOOKUP(F125,Scores!$A$1:$I$99,6,FALSE)),"")</f>
        <v/>
      </c>
      <c r="S125" s="58" t="str">
        <f>IFERROR(IF(VLOOKUP(F125,Scores!$A$1:$I$99,7,FALSE)="","",VLOOKUP(F125,Scores!$A$1:$I$99,7,FALSE)),"")</f>
        <v/>
      </c>
      <c r="T125" s="58" t="str">
        <f>IFERROR(IF(VLOOKUP(F125,Scores!$A$1:$I$99,8,FALSE)="","",VLOOKUP(F125,Scores!$A$1:$I$99,8,FALSE)),"")</f>
        <v/>
      </c>
      <c r="U125" s="60" t="str">
        <f>IFERROR(IF(VLOOKUP(F125,Scores!$A$1:$I$99,9,FALSE)="","",VLOOKUP(F125,Scores!$A$1:$I$99,9,FALSE)),"")</f>
        <v/>
      </c>
      <c r="V125" s="54" t="str">
        <f t="shared" si="43"/>
        <v/>
      </c>
      <c r="W125" s="55" t="str">
        <f t="shared" si="44"/>
        <v/>
      </c>
      <c r="X125" s="55" t="str">
        <f t="shared" si="45"/>
        <v/>
      </c>
      <c r="Y125" s="55" t="str">
        <f t="shared" si="46"/>
        <v/>
      </c>
      <c r="Z125" s="55" t="str">
        <f t="shared" si="47"/>
        <v/>
      </c>
      <c r="AA125" s="55" t="str">
        <f t="shared" si="48"/>
        <v/>
      </c>
      <c r="AB125" s="55" t="str">
        <f t="shared" si="49"/>
        <v/>
      </c>
      <c r="AC125" s="56" t="str">
        <f t="shared" si="50"/>
        <v/>
      </c>
      <c r="AD125" s="79" t="str">
        <f t="shared" si="51"/>
        <v/>
      </c>
      <c r="AE125" s="59" t="str">
        <f t="shared" si="52"/>
        <v/>
      </c>
      <c r="AF125" s="55" t="str" cm="1">
        <f t="array" ref="AF125">IFERROR(IF(AD125&gt;Lookups!$I$5-1,AVERAGE(LARGE(V125:AC125,_xlfn.SEQUENCE(Lookups!$I$5))),AVERAGE(LARGE(V125:AC125,_xlfn.SEQUENCE(AD125)))),"")</f>
        <v/>
      </c>
      <c r="AG125" s="124" t="str">
        <f t="shared" si="53"/>
        <v/>
      </c>
      <c r="AH125" s="78" t="str">
        <f>IF(AD125=Lookups!$I$5+1,LARGE(V125:AC125,5),"")</f>
        <v/>
      </c>
      <c r="AI125" s="78" t="str">
        <f>IF(AD125=Lookups!$I$5+2,LARGE(V125:AC125,6),"")</f>
        <v/>
      </c>
      <c r="AJ125" s="78"/>
      <c r="AK125" s="78"/>
      <c r="AL125" s="141"/>
      <c r="AM125" s="78"/>
      <c r="AN125" s="78"/>
      <c r="AO125" s="78"/>
      <c r="AP125" s="78"/>
      <c r="AQ125" s="78"/>
    </row>
    <row r="126" spans="1:48" ht="16.5" customHeight="1" x14ac:dyDescent="0.3">
      <c r="A126" t="str">
        <f>IF(AD126="","",COUNTIFS($H$6:$H$120,H126,$AF$6:$AF$120,"&gt;"&amp;AF126)+COUNTIFS(H$120:$H126,H126,AF$120:$AF126,AF126))</f>
        <v/>
      </c>
      <c r="B126" t="str">
        <f>IF(AD126=0,"",IF(COUNTIFS($AE$6:$AE$177,"&gt;"&amp;AE126)+COUNTIFS(AE$6:AE126,"="&amp;AE126)=0,"",COUNTIFS($AE$6:$AE$177,"&gt;"&amp;AE126)+COUNTIFS(AE$6:AE126,"="&amp;AE126)))</f>
        <v/>
      </c>
      <c r="D126" t="str">
        <f>IF(AG126=0,"",IF(COUNTIFS($AG$6:$AG$177,"&gt;"&amp;AG126)+COUNTIFS(AG$6:AG126,"="&amp;AG126)=0,"",COUNTIFS($AG$6:$AG$177,"&gt;"&amp;AG126)+COUNTIFS(AG$6:AG126,"="&amp;AG126)))</f>
        <v/>
      </c>
      <c r="F126" s="21" t="s">
        <v>120</v>
      </c>
      <c r="G126" s="52" t="str">
        <f>IFERROR(IF(VLOOKUP(F126,Lookups!$A$2:$F$111,2,FALSE)="","",VLOOKUP(F126,Lookups!$A$2:$F$111,2,FALSE)),"")</f>
        <v/>
      </c>
      <c r="H126" s="52" t="str">
        <f>IFERROR(IF(VLOOKUP(F126,Lookups!$A$2:$F$111,3,FALSE)="","",VLOOKUP(F126,Lookups!$A$2:$F$111,3,FALSE)),"")</f>
        <v>Visitor</v>
      </c>
      <c r="I126" s="52" t="str">
        <f>IFERROR(IF(AF126=0,"",VLOOKUP(AF126,Lookups!$K$2:$L$6,2,TRUE)),"")</f>
        <v/>
      </c>
      <c r="J126" s="52" t="str">
        <f>IF(AD126&lt;Lookups!$I$5,"Y","N")</f>
        <v>N</v>
      </c>
      <c r="K126" s="52" t="str">
        <f>IFERROR(IF(VLOOKUP(F126,Lookups!$A$2:$F$111,4,FALSE)="","",VLOOKUP(F126,Lookups!$A$2:$F$111,4,FALSE)),"")</f>
        <v>PCP</v>
      </c>
      <c r="L126" s="52" t="str">
        <f>IFERROR(IF(VLOOKUP(F126,Lookups!$A$2:$F$111,5,FALSE)="","",VLOOKUP(F126,Lookups!$A$2:$F$111,5,FALSE)),"")</f>
        <v>Visitor</v>
      </c>
      <c r="M126" s="53" t="str">
        <f>IFERROR(IF(VLOOKUP(F126,Lookups!$A$2:$F$111,6,FALSE)="","",VLOOKUP(F126,Lookups!$A$2:$F$111,6,FALSE)),"")</f>
        <v/>
      </c>
      <c r="N126" s="57" t="str">
        <f>IFERROR(IF(VLOOKUP(F126,Scores!$A$1:$I$99,2,FALSE)="","",VLOOKUP(F126,Scores!$A$1:$I$99,2,FALSE)),"")</f>
        <v/>
      </c>
      <c r="O126" s="58" t="str">
        <f>IFERROR(IF(VLOOKUP(F126,Scores!$A$1:$I$99,3,FALSE)="","",VLOOKUP(F126,Scores!$A$1:$I$99,3,FALSE)),"")</f>
        <v/>
      </c>
      <c r="P126" s="58" t="str">
        <f>IFERROR(IF(VLOOKUP(F126,Scores!$A$1:$I$99,4,FALSE)="","",VLOOKUP(F126,Scores!$A$1:$I$99,4,FALSE)),"")</f>
        <v/>
      </c>
      <c r="Q126" s="58" t="str">
        <f>IFERROR(IF(VLOOKUP(F126,Scores!$A$1:$I$99,5,FALSE)="","",VLOOKUP(F126,Scores!$A$1:$I$99,5,FALSE)),"")</f>
        <v/>
      </c>
      <c r="R126" s="58" t="str">
        <f>IFERROR(IF(VLOOKUP(F126,Scores!$A$1:$I$99,6,FALSE)="","",VLOOKUP(F126,Scores!$A$1:$I$99,6,FALSE)),"")</f>
        <v/>
      </c>
      <c r="S126" s="58" t="str">
        <f>IFERROR(IF(VLOOKUP(F126,Scores!$A$1:$I$99,7,FALSE)="","",VLOOKUP(F126,Scores!$A$1:$I$99,7,FALSE)),"")</f>
        <v/>
      </c>
      <c r="T126" s="58" t="str">
        <f>IFERROR(IF(VLOOKUP(F126,Scores!$A$1:$I$99,8,FALSE)="","",VLOOKUP(F126,Scores!$A$1:$I$99,8,FALSE)),"")</f>
        <v/>
      </c>
      <c r="U126" s="60" t="str">
        <f>IFERROR(IF(VLOOKUP(F126,Scores!$A$1:$I$99,9,FALSE)="","",VLOOKUP(F126,Scores!$A$1:$I$99,9,FALSE)),"")</f>
        <v/>
      </c>
      <c r="V126" s="54" t="str">
        <f t="shared" si="43"/>
        <v/>
      </c>
      <c r="W126" s="55" t="str">
        <f t="shared" si="44"/>
        <v/>
      </c>
      <c r="X126" s="55" t="str">
        <f t="shared" si="45"/>
        <v/>
      </c>
      <c r="Y126" s="55" t="str">
        <f t="shared" si="46"/>
        <v/>
      </c>
      <c r="Z126" s="55" t="str">
        <f t="shared" si="47"/>
        <v/>
      </c>
      <c r="AA126" s="55" t="str">
        <f t="shared" si="48"/>
        <v/>
      </c>
      <c r="AB126" s="55" t="str">
        <f t="shared" si="49"/>
        <v/>
      </c>
      <c r="AC126" s="56" t="str">
        <f t="shared" si="50"/>
        <v/>
      </c>
      <c r="AD126" s="79" t="str">
        <f t="shared" si="51"/>
        <v/>
      </c>
      <c r="AE126" s="59" t="str">
        <f t="shared" si="52"/>
        <v/>
      </c>
      <c r="AF126" s="55" t="str" cm="1">
        <f t="array" ref="AF126">IFERROR(IF(AD126&gt;Lookups!$I$5-1,AVERAGE(LARGE(V126:AC126,_xlfn.SEQUENCE(Lookups!$I$5))),AVERAGE(LARGE(V126:AC126,_xlfn.SEQUENCE(AD126)))),"")</f>
        <v/>
      </c>
      <c r="AG126" s="124" t="str">
        <f t="shared" si="53"/>
        <v/>
      </c>
      <c r="AH126" s="78" t="str">
        <f>IF(AD126=Lookups!$I$5+1,LARGE(V126:AC126,5),"")</f>
        <v/>
      </c>
      <c r="AI126" s="78" t="str">
        <f>IF(AD126=Lookups!$I$5+2,LARGE(V126:AC126,6),"")</f>
        <v/>
      </c>
      <c r="AJ126" s="78"/>
      <c r="AK126" s="78"/>
      <c r="AL126" s="141"/>
      <c r="AM126" s="78"/>
      <c r="AN126" s="78"/>
      <c r="AO126" s="78"/>
      <c r="AP126" s="78"/>
      <c r="AQ126" s="78"/>
    </row>
    <row r="127" spans="1:48" ht="16.5" customHeight="1" x14ac:dyDescent="0.3">
      <c r="A127" t="str">
        <f>IF(AD127="","",COUNTIFS($H$6:$H$120,H127,$AF$6:$AF$120,"&gt;"&amp;AF127)+COUNTIFS(H$120:$H127,H127,AF$120:$AF127,AF127))</f>
        <v/>
      </c>
      <c r="B127" t="str">
        <f>IF(AD127=0,"",IF(COUNTIFS($AE$6:$AE$177,"&gt;"&amp;AE127)+COUNTIFS(AE$6:AE127,"="&amp;AE127)=0,"",COUNTIFS($AE$6:$AE$177,"&gt;"&amp;AE127)+COUNTIFS(AE$6:AE127,"="&amp;AE127)))</f>
        <v/>
      </c>
      <c r="D127" t="str">
        <f>IF(AG127=0,"",IF(COUNTIFS($AG$6:$AG$177,"&gt;"&amp;AG127)+COUNTIFS(AG$6:AG127,"="&amp;AG127)=0,"",COUNTIFS($AG$6:$AG$177,"&gt;"&amp;AG127)+COUNTIFS(AG$6:AG127,"="&amp;AG127)))</f>
        <v/>
      </c>
      <c r="F127" s="21" t="s">
        <v>121</v>
      </c>
      <c r="G127" s="52" t="str">
        <f>IFERROR(IF(VLOOKUP(F127,Lookups!$A$2:$F$111,2,FALSE)="","",VLOOKUP(F127,Lookups!$A$2:$F$111,2,FALSE)),"")</f>
        <v/>
      </c>
      <c r="H127" s="52" t="str">
        <f>IFERROR(IF(VLOOKUP(F127,Lookups!$A$2:$F$111,3,FALSE)="","",VLOOKUP(F127,Lookups!$A$2:$F$111,3,FALSE)),"")</f>
        <v>Visitor</v>
      </c>
      <c r="I127" s="52" t="str">
        <f>IFERROR(IF(AF127=0,"",VLOOKUP(AF127,Lookups!$K$2:$L$6,2,TRUE)),"")</f>
        <v/>
      </c>
      <c r="J127" s="52" t="str">
        <f>IF(AD127&lt;Lookups!$I$5,"Y","N")</f>
        <v>N</v>
      </c>
      <c r="K127" s="52" t="str">
        <f>IFERROR(IF(VLOOKUP(F127,Lookups!$A$2:$F$111,4,FALSE)="","",VLOOKUP(F127,Lookups!$A$2:$F$111,4,FALSE)),"")</f>
        <v>PCP</v>
      </c>
      <c r="L127" s="52" t="str">
        <f>IFERROR(IF(VLOOKUP(F127,Lookups!$A$2:$F$111,5,FALSE)="","",VLOOKUP(F127,Lookups!$A$2:$F$111,5,FALSE)),"")</f>
        <v>Visitor</v>
      </c>
      <c r="M127" s="53" t="str">
        <f>IFERROR(IF(VLOOKUP(F127,Lookups!$A$2:$F$111,6,FALSE)="","",VLOOKUP(F127,Lookups!$A$2:$F$111,6,FALSE)),"")</f>
        <v/>
      </c>
      <c r="N127" s="57" t="str">
        <f>IFERROR(IF(VLOOKUP(F127,Scores!$A$1:$I$99,2,FALSE)="","",VLOOKUP(F127,Scores!$A$1:$I$99,2,FALSE)),"")</f>
        <v/>
      </c>
      <c r="O127" s="58" t="str">
        <f>IFERROR(IF(VLOOKUP(F127,Scores!$A$1:$I$99,3,FALSE)="","",VLOOKUP(F127,Scores!$A$1:$I$99,3,FALSE)),"")</f>
        <v/>
      </c>
      <c r="P127" s="58" t="str">
        <f>IFERROR(IF(VLOOKUP(F127,Scores!$A$1:$I$99,4,FALSE)="","",VLOOKUP(F127,Scores!$A$1:$I$99,4,FALSE)),"")</f>
        <v/>
      </c>
      <c r="Q127" s="58" t="str">
        <f>IFERROR(IF(VLOOKUP(F127,Scores!$A$1:$I$99,5,FALSE)="","",VLOOKUP(F127,Scores!$A$1:$I$99,5,FALSE)),"")</f>
        <v/>
      </c>
      <c r="R127" s="58" t="str">
        <f>IFERROR(IF(VLOOKUP(F127,Scores!$A$1:$I$99,6,FALSE)="","",VLOOKUP(F127,Scores!$A$1:$I$99,6,FALSE)),"")</f>
        <v/>
      </c>
      <c r="S127" s="58" t="str">
        <f>IFERROR(IF(VLOOKUP(F127,Scores!$A$1:$I$99,7,FALSE)="","",VLOOKUP(F127,Scores!$A$1:$I$99,7,FALSE)),"")</f>
        <v/>
      </c>
      <c r="T127" s="58" t="str">
        <f>IFERROR(IF(VLOOKUP(F127,Scores!$A$1:$I$99,8,FALSE)="","",VLOOKUP(F127,Scores!$A$1:$I$99,8,FALSE)),"")</f>
        <v/>
      </c>
      <c r="U127" s="60" t="str">
        <f>IFERROR(IF(VLOOKUP(F127,Scores!$A$1:$I$99,9,FALSE)="","",VLOOKUP(F127,Scores!$A$1:$I$99,9,FALSE)),"")</f>
        <v/>
      </c>
      <c r="V127" s="54" t="str">
        <f t="shared" si="43"/>
        <v/>
      </c>
      <c r="W127" s="55" t="str">
        <f t="shared" si="44"/>
        <v/>
      </c>
      <c r="X127" s="55" t="str">
        <f t="shared" si="45"/>
        <v/>
      </c>
      <c r="Y127" s="55" t="str">
        <f t="shared" si="46"/>
        <v/>
      </c>
      <c r="Z127" s="55" t="str">
        <f t="shared" si="47"/>
        <v/>
      </c>
      <c r="AA127" s="55" t="str">
        <f t="shared" si="48"/>
        <v/>
      </c>
      <c r="AB127" s="55" t="str">
        <f t="shared" si="49"/>
        <v/>
      </c>
      <c r="AC127" s="56" t="str">
        <f t="shared" si="50"/>
        <v/>
      </c>
      <c r="AD127" s="79" t="str">
        <f t="shared" si="51"/>
        <v/>
      </c>
      <c r="AE127" s="59" t="str">
        <f t="shared" si="52"/>
        <v/>
      </c>
      <c r="AF127" s="55" t="str" cm="1">
        <f t="array" ref="AF127">IFERROR(IF(AD127&gt;Lookups!$I$5-1,AVERAGE(LARGE(V127:AC127,_xlfn.SEQUENCE(Lookups!$I$5))),AVERAGE(LARGE(V127:AC127,_xlfn.SEQUENCE(AD127)))),"")</f>
        <v/>
      </c>
      <c r="AG127" s="124" t="str">
        <f t="shared" si="53"/>
        <v/>
      </c>
      <c r="AH127" s="78" t="str">
        <f>IF(AD127=Lookups!$I$5+1,LARGE(V127:AC127,5),"")</f>
        <v/>
      </c>
      <c r="AI127" s="78" t="str">
        <f>IF(AD127=Lookups!$I$5+2,LARGE(V127:AC127,6),"")</f>
        <v/>
      </c>
      <c r="AJ127" s="78"/>
      <c r="AK127" s="78"/>
      <c r="AL127" s="141"/>
      <c r="AM127" s="78"/>
      <c r="AN127" s="78"/>
      <c r="AO127" s="78"/>
      <c r="AP127" s="78"/>
      <c r="AQ127" s="78"/>
    </row>
    <row r="128" spans="1:48" ht="16.5" customHeight="1" x14ac:dyDescent="0.3">
      <c r="A128" t="str">
        <f>IF(AD128="","",COUNTIFS($H$6:$H$120,H128,$AF$6:$AF$120,"&gt;"&amp;AF128)+COUNTIFS(H$120:$H128,H128,AF$120:$AF128,AF128))</f>
        <v/>
      </c>
      <c r="B128" t="str">
        <f>IF(AD128=0,"",IF(COUNTIFS($AE$6:$AE$177,"&gt;"&amp;AE128)+COUNTIFS(AE$6:AE128,"="&amp;AE128)=0,"",COUNTIFS($AE$6:$AE$177,"&gt;"&amp;AE128)+COUNTIFS(AE$6:AE128,"="&amp;AE128)))</f>
        <v/>
      </c>
      <c r="D128" t="str">
        <f>IF(AG128=0,"",IF(COUNTIFS($AG$6:$AG$177,"&gt;"&amp;AG128)+COUNTIFS(AG$6:AG128,"="&amp;AG128)=0,"",COUNTIFS($AG$6:$AG$177,"&gt;"&amp;AG128)+COUNTIFS(AG$6:AG128,"="&amp;AG128)))</f>
        <v/>
      </c>
      <c r="F128" s="21" t="s">
        <v>122</v>
      </c>
      <c r="G128" s="52" t="str">
        <f>IFERROR(IF(VLOOKUP(F128,Lookups!$A$2:$F$111,2,FALSE)="","",VLOOKUP(F128,Lookups!$A$2:$F$111,2,FALSE)),"")</f>
        <v/>
      </c>
      <c r="H128" s="52" t="str">
        <f>IFERROR(IF(VLOOKUP(F128,Lookups!$A$2:$F$111,3,FALSE)="","",VLOOKUP(F128,Lookups!$A$2:$F$111,3,FALSE)),"")</f>
        <v>Visitor</v>
      </c>
      <c r="I128" s="52" t="str">
        <f>IFERROR(IF(AF128=0,"",VLOOKUP(AF128,Lookups!$K$2:$L$6,2,TRUE)),"")</f>
        <v/>
      </c>
      <c r="J128" s="52" t="str">
        <f>IF(AD128&lt;Lookups!$I$5,"Y","N")</f>
        <v>N</v>
      </c>
      <c r="K128" s="52" t="str">
        <f>IFERROR(IF(VLOOKUP(F128,Lookups!$A$2:$F$111,4,FALSE)="","",VLOOKUP(F128,Lookups!$A$2:$F$111,4,FALSE)),"")</f>
        <v>PCP</v>
      </c>
      <c r="L128" s="52" t="str">
        <f>IFERROR(IF(VLOOKUP(F128,Lookups!$A$2:$F$111,5,FALSE)="","",VLOOKUP(F128,Lookups!$A$2:$F$111,5,FALSE)),"")</f>
        <v>Visitor</v>
      </c>
      <c r="M128" s="53" t="str">
        <f>IFERROR(IF(VLOOKUP(F128,Lookups!$A$2:$F$111,6,FALSE)="","",VLOOKUP(F128,Lookups!$A$2:$F$111,6,FALSE)),"")</f>
        <v/>
      </c>
      <c r="N128" s="57" t="str">
        <f>IFERROR(IF(VLOOKUP(F128,Scores!$A$1:$I$99,2,FALSE)="","",VLOOKUP(F128,Scores!$A$1:$I$99,2,FALSE)),"")</f>
        <v/>
      </c>
      <c r="O128" s="58" t="str">
        <f>IFERROR(IF(VLOOKUP(F128,Scores!$A$1:$I$99,3,FALSE)="","",VLOOKUP(F128,Scores!$A$1:$I$99,3,FALSE)),"")</f>
        <v/>
      </c>
      <c r="P128" s="58" t="str">
        <f>IFERROR(IF(VLOOKUP(F128,Scores!$A$1:$I$99,4,FALSE)="","",VLOOKUP(F128,Scores!$A$1:$I$99,4,FALSE)),"")</f>
        <v/>
      </c>
      <c r="Q128" s="58" t="str">
        <f>IFERROR(IF(VLOOKUP(F128,Scores!$A$1:$I$99,5,FALSE)="","",VLOOKUP(F128,Scores!$A$1:$I$99,5,FALSE)),"")</f>
        <v/>
      </c>
      <c r="R128" s="58" t="str">
        <f>IFERROR(IF(VLOOKUP(F128,Scores!$A$1:$I$99,6,FALSE)="","",VLOOKUP(F128,Scores!$A$1:$I$99,6,FALSE)),"")</f>
        <v/>
      </c>
      <c r="S128" s="58" t="str">
        <f>IFERROR(IF(VLOOKUP(F128,Scores!$A$1:$I$99,7,FALSE)="","",VLOOKUP(F128,Scores!$A$1:$I$99,7,FALSE)),"")</f>
        <v/>
      </c>
      <c r="T128" s="58" t="str">
        <f>IFERROR(IF(VLOOKUP(F128,Scores!$A$1:$I$99,8,FALSE)="","",VLOOKUP(F128,Scores!$A$1:$I$99,8,FALSE)),"")</f>
        <v/>
      </c>
      <c r="U128" s="60" t="str">
        <f>IFERROR(IF(VLOOKUP(F128,Scores!$A$1:$I$99,9,FALSE)="","",VLOOKUP(F128,Scores!$A$1:$I$99,9,FALSE)),"")</f>
        <v/>
      </c>
      <c r="V128" s="54" t="str">
        <f t="shared" si="43"/>
        <v/>
      </c>
      <c r="W128" s="55" t="str">
        <f t="shared" si="44"/>
        <v/>
      </c>
      <c r="X128" s="55" t="str">
        <f t="shared" si="45"/>
        <v/>
      </c>
      <c r="Y128" s="55" t="str">
        <f t="shared" si="46"/>
        <v/>
      </c>
      <c r="Z128" s="55" t="str">
        <f t="shared" si="47"/>
        <v/>
      </c>
      <c r="AA128" s="55" t="str">
        <f t="shared" si="48"/>
        <v/>
      </c>
      <c r="AB128" s="55" t="str">
        <f t="shared" si="49"/>
        <v/>
      </c>
      <c r="AC128" s="56" t="str">
        <f t="shared" si="50"/>
        <v/>
      </c>
      <c r="AD128" s="79" t="str">
        <f t="shared" si="51"/>
        <v/>
      </c>
      <c r="AE128" s="59" t="str">
        <f t="shared" si="52"/>
        <v/>
      </c>
      <c r="AF128" s="55" t="str" cm="1">
        <f t="array" ref="AF128">IFERROR(IF(AD128&gt;Lookups!$I$5-1,AVERAGE(LARGE(V128:AC128,_xlfn.SEQUENCE(Lookups!$I$5))),AVERAGE(LARGE(V128:AC128,_xlfn.SEQUENCE(AD128)))),"")</f>
        <v/>
      </c>
      <c r="AG128" s="124" t="str">
        <f t="shared" si="53"/>
        <v/>
      </c>
      <c r="AH128" s="78" t="str">
        <f>IF(AD128=Lookups!$I$5+1,LARGE(V128:AC128,5),"")</f>
        <v/>
      </c>
      <c r="AI128" s="78" t="str">
        <f>IF(AD128=Lookups!$I$5+2,LARGE(V128:AC128,6),"")</f>
        <v/>
      </c>
      <c r="AJ128" s="78"/>
      <c r="AK128" s="78"/>
      <c r="AL128" s="141"/>
      <c r="AM128" s="78"/>
      <c r="AN128" s="78"/>
      <c r="AO128" s="78"/>
      <c r="AP128" s="78"/>
      <c r="AQ128" s="78"/>
    </row>
    <row r="129" spans="1:43" ht="16.5" customHeight="1" x14ac:dyDescent="0.3">
      <c r="A129">
        <f>IF(AD129="","",COUNTIFS($H$6:$H$120,H129,$AF$6:$AF$120,"&gt;"&amp;AF129)+COUNTIFS(H$120:$H129,H129,AF$120:$AF129,AF129))</f>
        <v>1</v>
      </c>
      <c r="B129">
        <f>IF(AD129=0,"",IF(COUNTIFS($AE$6:$AE$177,"&gt;"&amp;AE129)+COUNTIFS(AE$6:AE129,"="&amp;AE129)=0,"",COUNTIFS($AE$6:$AE$177,"&gt;"&amp;AE129)+COUNTIFS(AE$6:AE129,"="&amp;AE129)))</f>
        <v>44</v>
      </c>
      <c r="D129">
        <f>IF(AG129=0,"",IF(COUNTIFS($AG$6:$AG$177,"&gt;"&amp;AG129)+COUNTIFS(AG$6:AG129,"="&amp;AG129)=0,"",COUNTIFS($AG$6:$AG$177,"&gt;"&amp;AG129)+COUNTIFS(AG$6:AG129,"="&amp;AG129)))</f>
        <v>38</v>
      </c>
      <c r="F129" s="21" t="s">
        <v>123</v>
      </c>
      <c r="G129" s="52" t="str">
        <f>IFERROR(IF(VLOOKUP(F129,Lookups!$A$2:$F$111,2,FALSE)="","",VLOOKUP(F129,Lookups!$A$2:$F$111,2,FALSE)),"")</f>
        <v/>
      </c>
      <c r="H129" s="52" t="str">
        <f>IFERROR(IF(VLOOKUP(F129,Lookups!$A$2:$F$111,3,FALSE)="","",VLOOKUP(F129,Lookups!$A$2:$F$111,3,FALSE)),"")</f>
        <v>Visitor</v>
      </c>
      <c r="I129" s="52" t="str">
        <f>IFERROR(IF(AF129=0,"",VLOOKUP(AF129,Lookups!$K$2:$L$6,2,TRUE)),"")</f>
        <v>C</v>
      </c>
      <c r="J129" s="52" t="str">
        <f>IF(AD129&lt;Lookups!$I$5,"Y","N")</f>
        <v>Y</v>
      </c>
      <c r="K129" s="52" t="str">
        <f>IFERROR(IF(VLOOKUP(F129,Lookups!$A$2:$F$111,4,FALSE)="","",VLOOKUP(F129,Lookups!$A$2:$F$111,4,FALSE)),"")</f>
        <v>Piston</v>
      </c>
      <c r="L129" s="52" t="str">
        <f>IFERROR(IF(VLOOKUP(F129,Lookups!$A$2:$F$111,5,FALSE)="","",VLOOKUP(F129,Lookups!$A$2:$F$111,5,FALSE)),"")</f>
        <v>Visitor</v>
      </c>
      <c r="M129" s="53" t="str">
        <f>IFERROR(IF(VLOOKUP(F129,Lookups!$A$2:$F$111,6,FALSE)="","",VLOOKUP(F129,Lookups!$A$2:$F$111,6,FALSE)),"")</f>
        <v/>
      </c>
      <c r="N129" s="57" t="str">
        <f>IFERROR(IF(VLOOKUP(F129,Scores!$A$1:$I$99,2,FALSE)="","",VLOOKUP(F129,Scores!$A$1:$I$99,2,FALSE)),"")</f>
        <v/>
      </c>
      <c r="O129" s="58" t="str">
        <f>IFERROR(IF(VLOOKUP(F129,Scores!$A$1:$I$99,3,FALSE)="","",VLOOKUP(F129,Scores!$A$1:$I$99,3,FALSE)),"")</f>
        <v/>
      </c>
      <c r="P129" s="58" t="str">
        <f>IFERROR(IF(VLOOKUP(F129,Scores!$A$1:$I$99,4,FALSE)="","",VLOOKUP(F129,Scores!$A$1:$I$99,4,FALSE)),"")</f>
        <v/>
      </c>
      <c r="Q129" s="58">
        <f>IFERROR(IF(VLOOKUP(F129,Scores!$A$1:$I$99,5,FALSE)="","",VLOOKUP(F129,Scores!$A$1:$I$99,5,FALSE)),"")</f>
        <v>21</v>
      </c>
      <c r="R129" s="58">
        <f>IFERROR(IF(VLOOKUP(F129,Scores!$A$1:$I$99,6,FALSE)="","",VLOOKUP(F129,Scores!$A$1:$I$99,6,FALSE)),"")</f>
        <v>22</v>
      </c>
      <c r="S129" s="58" t="str">
        <f>IFERROR(IF(VLOOKUP(F129,Scores!$A$1:$I$99,7,FALSE)="","",VLOOKUP(F129,Scores!$A$1:$I$99,7,FALSE)),"")</f>
        <v/>
      </c>
      <c r="T129" s="58" t="str">
        <f>IFERROR(IF(VLOOKUP(F129,Scores!$A$1:$I$99,8,FALSE)="","",VLOOKUP(F129,Scores!$A$1:$I$99,8,FALSE)),"")</f>
        <v/>
      </c>
      <c r="U129" s="60" t="str">
        <f>IFERROR(IF(VLOOKUP(F129,Scores!$A$1:$I$99,9,FALSE)="","",VLOOKUP(F129,Scores!$A$1:$I$99,9,FALSE)),"")</f>
        <v/>
      </c>
      <c r="V129" s="54" t="str">
        <f t="shared" si="43"/>
        <v/>
      </c>
      <c r="W129" s="55" t="str">
        <f t="shared" si="44"/>
        <v/>
      </c>
      <c r="X129" s="55" t="str">
        <f t="shared" si="45"/>
        <v/>
      </c>
      <c r="Y129" s="55">
        <f t="shared" si="46"/>
        <v>0.58333333333333337</v>
      </c>
      <c r="Z129" s="55">
        <f t="shared" si="47"/>
        <v>0.57894736842105265</v>
      </c>
      <c r="AA129" s="55" t="str">
        <f t="shared" si="48"/>
        <v/>
      </c>
      <c r="AB129" s="55" t="str">
        <f t="shared" si="49"/>
        <v/>
      </c>
      <c r="AC129" s="56" t="str">
        <f t="shared" si="50"/>
        <v/>
      </c>
      <c r="AD129" s="79">
        <f t="shared" si="51"/>
        <v>2</v>
      </c>
      <c r="AE129" s="59">
        <f t="shared" si="52"/>
        <v>0.58114035087719307</v>
      </c>
      <c r="AF129" s="55" cm="1">
        <f t="array" ref="AF129">IFERROR(IF(AD129&gt;Lookups!$I$5-1,AVERAGE(LARGE(V129:AC129,_xlfn.SEQUENCE(Lookups!$I$5))),AVERAGE(LARGE(V129:AC129,_xlfn.SEQUENCE(AD129)))),"")</f>
        <v>0.58114035087719307</v>
      </c>
      <c r="AG129" s="124">
        <f t="shared" si="53"/>
        <v>43</v>
      </c>
      <c r="AH129" s="78" t="str">
        <f>IF(AD129=Lookups!$I$5+1,LARGE(V129:AC129,5),"")</f>
        <v/>
      </c>
      <c r="AI129" s="78" t="str">
        <f>IF(AD129=Lookups!$I$5+2,LARGE(V129:AC129,6),"")</f>
        <v/>
      </c>
      <c r="AJ129" s="78"/>
      <c r="AK129" s="78"/>
      <c r="AL129" s="141"/>
      <c r="AM129" s="78"/>
      <c r="AN129" s="78"/>
      <c r="AO129" s="78"/>
      <c r="AP129" s="78"/>
      <c r="AQ129" s="78"/>
    </row>
    <row r="130" spans="1:43" ht="16.5" customHeight="1" x14ac:dyDescent="0.3">
      <c r="A130" t="str">
        <f>IF(AD130="","",COUNTIFS($H$6:$H$120,H130,$AF$6:$AF$120,"&gt;"&amp;AF130)+COUNTIFS(H$120:$H130,H130,AF$120:$AF130,AF130))</f>
        <v/>
      </c>
      <c r="B130" t="str">
        <f>IF(AD130=0,"",IF(COUNTIFS($AE$6:$AE$177,"&gt;"&amp;AE130)+COUNTIFS(AE$6:AE130,"="&amp;AE130)=0,"",COUNTIFS($AE$6:$AE$177,"&gt;"&amp;AE130)+COUNTIFS(AE$6:AE130,"="&amp;AE130)))</f>
        <v/>
      </c>
      <c r="D130" t="str">
        <f>IF(AG130=0,"",IF(COUNTIFS($AG$6:$AG$177,"&gt;"&amp;AG130)+COUNTIFS(AG$6:AG130,"="&amp;AG130)=0,"",COUNTIFS($AG$6:$AG$177,"&gt;"&amp;AG130)+COUNTIFS(AG$6:AG130,"="&amp;AG130)))</f>
        <v/>
      </c>
      <c r="F130" s="21" t="s">
        <v>124</v>
      </c>
      <c r="G130" s="52" t="str">
        <f>IFERROR(IF(VLOOKUP(F130,Lookups!$A$2:$F$111,2,FALSE)="","",VLOOKUP(F130,Lookups!$A$2:$F$111,2,FALSE)),"")</f>
        <v/>
      </c>
      <c r="H130" s="52" t="str">
        <f>IFERROR(IF(VLOOKUP(F130,Lookups!$A$2:$F$111,3,FALSE)="","",VLOOKUP(F130,Lookups!$A$2:$F$111,3,FALSE)),"")</f>
        <v>Visitor</v>
      </c>
      <c r="I130" s="52" t="str">
        <f>IFERROR(IF(AF130=0,"",VLOOKUP(AF130,Lookups!$K$2:$L$6,2,TRUE)),"")</f>
        <v/>
      </c>
      <c r="J130" s="52" t="str">
        <f>IF(AD130&lt;Lookups!$I$5,"Y","N")</f>
        <v>N</v>
      </c>
      <c r="K130" s="52" t="str">
        <f>IFERROR(IF(VLOOKUP(F130,Lookups!$A$2:$F$111,4,FALSE)="","",VLOOKUP(F130,Lookups!$A$2:$F$111,4,FALSE)),"")</f>
        <v>PCP</v>
      </c>
      <c r="L130" s="52" t="str">
        <f>IFERROR(IF(VLOOKUP(F130,Lookups!$A$2:$F$111,5,FALSE)="","",VLOOKUP(F130,Lookups!$A$2:$F$111,5,FALSE)),"")</f>
        <v>Visitor</v>
      </c>
      <c r="M130" s="53" t="str">
        <f>IFERROR(IF(VLOOKUP(F130,Lookups!$A$2:$F$111,6,FALSE)="","",VLOOKUP(F130,Lookups!$A$2:$F$111,6,FALSE)),"")</f>
        <v/>
      </c>
      <c r="N130" s="57" t="str">
        <f>IFERROR(IF(VLOOKUP(F130,Scores!$A$1:$I$99,2,FALSE)="","",VLOOKUP(F130,Scores!$A$1:$I$99,2,FALSE)),"")</f>
        <v/>
      </c>
      <c r="O130" s="58" t="str">
        <f>IFERROR(IF(VLOOKUP(F130,Scores!$A$1:$I$99,3,FALSE)="","",VLOOKUP(F130,Scores!$A$1:$I$99,3,FALSE)),"")</f>
        <v/>
      </c>
      <c r="P130" s="58" t="str">
        <f>IFERROR(IF(VLOOKUP(F130,Scores!$A$1:$I$99,4,FALSE)="","",VLOOKUP(F130,Scores!$A$1:$I$99,4,FALSE)),"")</f>
        <v/>
      </c>
      <c r="Q130" s="58" t="str">
        <f>IFERROR(IF(VLOOKUP(F130,Scores!$A$1:$I$99,5,FALSE)="","",VLOOKUP(F130,Scores!$A$1:$I$99,5,FALSE)),"")</f>
        <v/>
      </c>
      <c r="R130" s="58" t="str">
        <f>IFERROR(IF(VLOOKUP(F130,Scores!$A$1:$I$99,6,FALSE)="","",VLOOKUP(F130,Scores!$A$1:$I$99,6,FALSE)),"")</f>
        <v/>
      </c>
      <c r="S130" s="58" t="str">
        <f>IFERROR(IF(VLOOKUP(F130,Scores!$A$1:$I$99,7,FALSE)="","",VLOOKUP(F130,Scores!$A$1:$I$99,7,FALSE)),"")</f>
        <v/>
      </c>
      <c r="T130" s="58" t="str">
        <f>IFERROR(IF(VLOOKUP(F130,Scores!$A$1:$I$99,8,FALSE)="","",VLOOKUP(F130,Scores!$A$1:$I$99,8,FALSE)),"")</f>
        <v/>
      </c>
      <c r="U130" s="60" t="str">
        <f>IFERROR(IF(VLOOKUP(F130,Scores!$A$1:$I$99,9,FALSE)="","",VLOOKUP(F130,Scores!$A$1:$I$99,9,FALSE)),"")</f>
        <v/>
      </c>
      <c r="V130" s="54" t="str">
        <f t="shared" si="43"/>
        <v/>
      </c>
      <c r="W130" s="55" t="str">
        <f t="shared" si="44"/>
        <v/>
      </c>
      <c r="X130" s="55" t="str">
        <f t="shared" si="45"/>
        <v/>
      </c>
      <c r="Y130" s="55" t="str">
        <f t="shared" si="46"/>
        <v/>
      </c>
      <c r="Z130" s="55" t="str">
        <f t="shared" si="47"/>
        <v/>
      </c>
      <c r="AA130" s="55" t="str">
        <f t="shared" si="48"/>
        <v/>
      </c>
      <c r="AB130" s="55" t="str">
        <f t="shared" si="49"/>
        <v/>
      </c>
      <c r="AC130" s="56" t="str">
        <f t="shared" si="50"/>
        <v/>
      </c>
      <c r="AD130" s="79" t="str">
        <f t="shared" si="51"/>
        <v/>
      </c>
      <c r="AE130" s="59" t="str">
        <f t="shared" si="52"/>
        <v/>
      </c>
      <c r="AF130" s="55" t="str" cm="1">
        <f t="array" ref="AF130">IFERROR(IF(AD130&gt;Lookups!$I$5-1,AVERAGE(LARGE(V130:AC130,_xlfn.SEQUENCE(Lookups!$I$5))),AVERAGE(LARGE(V130:AC130,_xlfn.SEQUENCE(AD130)))),"")</f>
        <v/>
      </c>
      <c r="AG130" s="124" t="str">
        <f t="shared" si="53"/>
        <v/>
      </c>
      <c r="AH130" s="78" t="str">
        <f>IF(AD130=Lookups!$I$5+1,LARGE(V130:AC130,5),"")</f>
        <v/>
      </c>
      <c r="AI130" s="78" t="str">
        <f>IF(AD130=Lookups!$I$5+2,LARGE(V130:AC130,6),"")</f>
        <v/>
      </c>
      <c r="AJ130" s="78"/>
      <c r="AK130" s="78"/>
      <c r="AL130" s="141"/>
      <c r="AM130" s="78"/>
      <c r="AN130" s="78"/>
      <c r="AO130" s="78"/>
      <c r="AP130" s="78"/>
      <c r="AQ130" s="78"/>
    </row>
    <row r="131" spans="1:43" ht="16.5" customHeight="1" x14ac:dyDescent="0.3">
      <c r="A131" t="str">
        <f>IF(AD131="","",COUNTIFS($H$6:$H$120,H131,$AF$6:$AF$120,"&gt;"&amp;AF131)+COUNTIFS(H$120:$H131,H131,AF$120:$AF131,AF131))</f>
        <v/>
      </c>
      <c r="B131" t="str">
        <f>IF(AD131=0,"",IF(COUNTIFS($AE$6:$AE$177,"&gt;"&amp;AE131)+COUNTIFS(AE$6:AE131,"="&amp;AE131)=0,"",COUNTIFS($AE$6:$AE$177,"&gt;"&amp;AE131)+COUNTIFS(AE$6:AE131,"="&amp;AE131)))</f>
        <v/>
      </c>
      <c r="D131" t="str">
        <f>IF(AG131=0,"",IF(COUNTIFS($AG$6:$AG$177,"&gt;"&amp;AG131)+COUNTIFS(AG$6:AG131,"="&amp;AG131)=0,"",COUNTIFS($AG$6:$AG$177,"&gt;"&amp;AG131)+COUNTIFS(AG$6:AG131,"="&amp;AG131)))</f>
        <v/>
      </c>
      <c r="F131" s="19"/>
      <c r="G131" s="52" t="str">
        <f>IFERROR(IF(VLOOKUP(F131,Lookups!$A$2:$F$111,2,FALSE)="","",VLOOKUP(F131,Lookups!$A$2:$F$111,2,FALSE)),"")</f>
        <v/>
      </c>
      <c r="H131" s="52" t="str">
        <f>IFERROR(IF(VLOOKUP(F131,Lookups!$A$2:$F$111,3,FALSE)="","",VLOOKUP(F131,Lookups!$A$2:$F$111,3,FALSE)),"")</f>
        <v/>
      </c>
      <c r="I131" s="52" t="str">
        <f>IFERROR(IF(AF131=0,"",VLOOKUP(AF131,Lookups!$K$2:$L$6,2,TRUE)),"")</f>
        <v/>
      </c>
      <c r="J131" s="52" t="str">
        <f>IF(AD131&lt;Lookups!$I$5,"Y","N")</f>
        <v>N</v>
      </c>
      <c r="K131" s="52" t="str">
        <f>IFERROR(IF(VLOOKUP(F131,Lookups!$A$2:$F$111,4,FALSE)="","",VLOOKUP(F131,Lookups!$A$2:$F$111,4,FALSE)),"")</f>
        <v/>
      </c>
      <c r="L131" s="52" t="str">
        <f>IFERROR(IF(VLOOKUP(F131,Lookups!$A$2:$F$111,5,FALSE)="","",VLOOKUP(F131,Lookups!$A$2:$F$111,5,FALSE)),"")</f>
        <v/>
      </c>
      <c r="M131" s="53" t="str">
        <f>IFERROR(IF(VLOOKUP(F131,Lookups!$A$2:$F$111,6,FALSE)="","",VLOOKUP(F131,Lookups!$A$2:$F$111,6,FALSE)),"")</f>
        <v/>
      </c>
      <c r="N131" s="57" t="str">
        <f>IFERROR(IF(VLOOKUP(F131,Scores!$A$1:$I$99,2,FALSE)="","",VLOOKUP(F131,Scores!$A$1:$I$99,2,FALSE)),"")</f>
        <v/>
      </c>
      <c r="O131" s="58" t="str">
        <f>IFERROR(IF(VLOOKUP(F131,Scores!$A$1:$I$99,3,FALSE)="","",VLOOKUP(F131,Scores!$A$1:$I$99,3,FALSE)),"")</f>
        <v/>
      </c>
      <c r="P131" s="58" t="str">
        <f>IFERROR(IF(VLOOKUP(F131,Scores!$A$1:$I$99,4,FALSE)="","",VLOOKUP(F131,Scores!$A$1:$I$99,4,FALSE)),"")</f>
        <v/>
      </c>
      <c r="Q131" s="58" t="str">
        <f>IFERROR(IF(VLOOKUP(F131,Scores!$A$1:$I$99,5,FALSE)="","",VLOOKUP(F131,Scores!$A$1:$I$99,5,FALSE)),"")</f>
        <v/>
      </c>
      <c r="R131" s="58" t="str">
        <f>IFERROR(IF(VLOOKUP(F131,Scores!$A$1:$I$99,6,FALSE)="","",VLOOKUP(F131,Scores!$A$1:$I$99,6,FALSE)),"")</f>
        <v/>
      </c>
      <c r="S131" s="58" t="str">
        <f>IFERROR(IF(VLOOKUP(F131,Scores!$A$1:$I$99,7,FALSE)="","",VLOOKUP(F131,Scores!$A$1:$I$99,7,FALSE)),"")</f>
        <v/>
      </c>
      <c r="T131" s="58" t="str">
        <f>IFERROR(IF(VLOOKUP(F131,Scores!$A$1:$I$99,8,FALSE)="","",VLOOKUP(F131,Scores!$A$1:$I$99,8,FALSE)),"")</f>
        <v/>
      </c>
      <c r="U131" s="60" t="str">
        <f>IFERROR(IF(VLOOKUP(F131,Scores!$A$1:$I$99,9,FALSE)="","",VLOOKUP(F131,Scores!$A$1:$I$99,9,FALSE)),"")</f>
        <v/>
      </c>
      <c r="V131" s="54" t="str">
        <f t="shared" si="43"/>
        <v/>
      </c>
      <c r="W131" s="55" t="str">
        <f t="shared" si="44"/>
        <v/>
      </c>
      <c r="X131" s="55" t="str">
        <f t="shared" si="45"/>
        <v/>
      </c>
      <c r="Y131" s="55" t="str">
        <f t="shared" si="46"/>
        <v/>
      </c>
      <c r="Z131" s="55" t="str">
        <f t="shared" si="47"/>
        <v/>
      </c>
      <c r="AA131" s="55" t="str">
        <f t="shared" si="48"/>
        <v/>
      </c>
      <c r="AB131" s="55" t="str">
        <f t="shared" si="49"/>
        <v/>
      </c>
      <c r="AC131" s="56" t="str">
        <f t="shared" si="50"/>
        <v/>
      </c>
      <c r="AD131" s="79" t="str">
        <f t="shared" si="51"/>
        <v/>
      </c>
      <c r="AE131" s="59" t="str">
        <f t="shared" si="52"/>
        <v/>
      </c>
      <c r="AF131" s="55" t="str" cm="1">
        <f t="array" ref="AF131">IFERROR(IF(AD131&gt;Lookups!$I$5-1,AVERAGE(LARGE(V131:AC131,_xlfn.SEQUENCE(Lookups!$I$5))),AVERAGE(LARGE(V131:AC131,_xlfn.SEQUENCE(AD131)))),"")</f>
        <v/>
      </c>
      <c r="AG131" s="124" t="str">
        <f t="shared" si="53"/>
        <v/>
      </c>
      <c r="AH131" s="78" t="str">
        <f>IF(AD131=Lookups!$I$5+1,LARGE(V131:AC131,5),"")</f>
        <v/>
      </c>
      <c r="AI131" s="78" t="str">
        <f>IF(AD131=Lookups!$I$5+2,LARGE(V131:AC131,6),"")</f>
        <v/>
      </c>
      <c r="AJ131" s="78"/>
      <c r="AK131" s="78"/>
      <c r="AL131" s="141"/>
      <c r="AM131" s="78"/>
      <c r="AN131" s="78"/>
      <c r="AO131" s="78"/>
      <c r="AP131" s="78"/>
      <c r="AQ131" s="78"/>
    </row>
    <row r="132" spans="1:43" ht="16.5" customHeight="1" x14ac:dyDescent="0.3">
      <c r="A132" t="str">
        <f>IF(AD132="","",COUNTIFS($H$6:$H$120,H132,$AF$6:$AF$120,"&gt;"&amp;AF132)+COUNTIFS(H$120:$H132,H132,AF$120:$AF132,AF132))</f>
        <v/>
      </c>
      <c r="B132" t="str">
        <f>IF(AD132=0,"",IF(COUNTIFS($AE$6:$AE$177,"&gt;"&amp;AE132)+COUNTIFS(AE$6:AE132,"="&amp;AE132)=0,"",COUNTIFS($AE$6:$AE$177,"&gt;"&amp;AE132)+COUNTIFS(AE$6:AE132,"="&amp;AE132)))</f>
        <v/>
      </c>
      <c r="D132" t="str">
        <f>IF(AG132=0,"",IF(COUNTIFS($AG$6:$AG$177,"&gt;"&amp;AG132)+COUNTIFS(AG$6:AG132,"="&amp;AG132)=0,"",COUNTIFS($AG$6:$AG$177,"&gt;"&amp;AG132)+COUNTIFS(AG$6:AG132,"="&amp;AG132)))</f>
        <v/>
      </c>
      <c r="F132" s="21"/>
      <c r="G132" s="52" t="str">
        <f>IFERROR(IF(VLOOKUP(F132,Lookups!$A$2:$F$111,2,FALSE)="","",VLOOKUP(F132,Lookups!$A$2:$F$111,2,FALSE)),"")</f>
        <v/>
      </c>
      <c r="H132" s="52" t="str">
        <f>IFERROR(IF(VLOOKUP(F132,Lookups!$A$2:$F$111,3,FALSE)="","",VLOOKUP(F132,Lookups!$A$2:$F$111,3,FALSE)),"")</f>
        <v/>
      </c>
      <c r="I132" s="52" t="str">
        <f>IFERROR(IF(AF132=0,"",VLOOKUP(AF132,Lookups!$K$2:$L$6,2,TRUE)),"")</f>
        <v/>
      </c>
      <c r="J132" s="52" t="str">
        <f>IF(AD132&lt;Lookups!$I$5,"Y","N")</f>
        <v>N</v>
      </c>
      <c r="K132" s="52" t="str">
        <f>IFERROR(IF(VLOOKUP(F132,Lookups!$A$2:$F$111,4,FALSE)="","",VLOOKUP(F132,Lookups!$A$2:$F$111,4,FALSE)),"")</f>
        <v/>
      </c>
      <c r="L132" s="52" t="str">
        <f>IFERROR(IF(VLOOKUP(F132,Lookups!$A$2:$F$111,5,FALSE)="","",VLOOKUP(F132,Lookups!$A$2:$F$111,5,FALSE)),"")</f>
        <v/>
      </c>
      <c r="M132" s="53" t="str">
        <f>IFERROR(IF(VLOOKUP(F132,Lookups!$A$2:$F$111,6,FALSE)="","",VLOOKUP(F132,Lookups!$A$2:$F$111,6,FALSE)),"")</f>
        <v/>
      </c>
      <c r="N132" s="57" t="str">
        <f>IFERROR(IF(VLOOKUP(F132,Scores!$A$1:$I$99,2,FALSE)="","",VLOOKUP(F132,Scores!$A$1:$I$99,2,FALSE)),"")</f>
        <v/>
      </c>
      <c r="O132" s="58" t="str">
        <f>IFERROR(IF(VLOOKUP(F132,Scores!$A$1:$I$99,3,FALSE)="","",VLOOKUP(F132,Scores!$A$1:$I$99,3,FALSE)),"")</f>
        <v/>
      </c>
      <c r="P132" s="58" t="str">
        <f>IFERROR(IF(VLOOKUP(F132,Scores!$A$1:$I$99,4,FALSE)="","",VLOOKUP(F132,Scores!$A$1:$I$99,4,FALSE)),"")</f>
        <v/>
      </c>
      <c r="Q132" s="58" t="str">
        <f>IFERROR(IF(VLOOKUP(F132,Scores!$A$1:$I$99,5,FALSE)="","",VLOOKUP(F132,Scores!$A$1:$I$99,5,FALSE)),"")</f>
        <v/>
      </c>
      <c r="R132" s="58" t="str">
        <f>IFERROR(IF(VLOOKUP(F132,Scores!$A$1:$I$99,6,FALSE)="","",VLOOKUP(F132,Scores!$A$1:$I$99,6,FALSE)),"")</f>
        <v/>
      </c>
      <c r="S132" s="58" t="str">
        <f>IFERROR(IF(VLOOKUP(F132,Scores!$A$1:$I$99,7,FALSE)="","",VLOOKUP(F132,Scores!$A$1:$I$99,7,FALSE)),"")</f>
        <v/>
      </c>
      <c r="T132" s="58" t="str">
        <f>IFERROR(IF(VLOOKUP(F132,Scores!$A$1:$I$99,8,FALSE)="","",VLOOKUP(F132,Scores!$A$1:$I$99,8,FALSE)),"")</f>
        <v/>
      </c>
      <c r="U132" s="60" t="str">
        <f>IFERROR(IF(VLOOKUP(F132,Scores!$A$1:$I$99,9,FALSE)="","",VLOOKUP(F132,Scores!$A$1:$I$99,9,FALSE)),"")</f>
        <v/>
      </c>
      <c r="V132" s="54" t="str">
        <f t="shared" si="43"/>
        <v/>
      </c>
      <c r="W132" s="55" t="str">
        <f t="shared" si="44"/>
        <v/>
      </c>
      <c r="X132" s="55" t="str">
        <f t="shared" si="45"/>
        <v/>
      </c>
      <c r="Y132" s="55" t="str">
        <f t="shared" si="46"/>
        <v/>
      </c>
      <c r="Z132" s="55" t="str">
        <f t="shared" si="47"/>
        <v/>
      </c>
      <c r="AA132" s="55" t="str">
        <f t="shared" si="48"/>
        <v/>
      </c>
      <c r="AB132" s="55" t="str">
        <f t="shared" si="49"/>
        <v/>
      </c>
      <c r="AC132" s="56" t="str">
        <f t="shared" si="50"/>
        <v/>
      </c>
      <c r="AD132" s="79" t="str">
        <f t="shared" si="51"/>
        <v/>
      </c>
      <c r="AE132" s="59" t="str">
        <f t="shared" si="52"/>
        <v/>
      </c>
      <c r="AF132" s="55" t="str" cm="1">
        <f t="array" ref="AF132">IFERROR(IF(AD132&gt;Lookups!$I$5-1,AVERAGE(LARGE(V132:AC132,_xlfn.SEQUENCE(Lookups!$I$5))),AVERAGE(LARGE(V132:AC132,_xlfn.SEQUENCE(AD132)))),"")</f>
        <v/>
      </c>
      <c r="AG132" s="124" t="str">
        <f t="shared" si="53"/>
        <v/>
      </c>
      <c r="AH132" s="78" t="str">
        <f>IF(AD132=Lookups!$I$5+1,LARGE(V132:AC132,5),"")</f>
        <v/>
      </c>
      <c r="AI132" s="78" t="str">
        <f>IF(AD132=Lookups!$I$5+2,LARGE(V132:AC132,6),"")</f>
        <v/>
      </c>
      <c r="AJ132" s="78"/>
      <c r="AK132" s="78"/>
      <c r="AL132" s="141"/>
      <c r="AM132" s="78"/>
      <c r="AN132" s="78"/>
      <c r="AO132" s="78"/>
      <c r="AP132" s="78"/>
      <c r="AQ132" s="78"/>
    </row>
    <row r="133" spans="1:43" ht="16.5" customHeight="1" x14ac:dyDescent="0.3">
      <c r="A133" t="str">
        <f>IF(AD133="","",COUNTIFS($H$6:$H$120,H133,$AF$6:$AF$120,"&gt;"&amp;AF133)+COUNTIFS(H$120:$H133,H133,AF$120:$AF133,AF133))</f>
        <v/>
      </c>
      <c r="B133" t="str">
        <f>IF(AD133=0,"",IF(COUNTIFS($AE$6:$AE$177,"&gt;"&amp;AE133)+COUNTIFS(AE$6:AE133,"="&amp;AE133)=0,"",COUNTIFS($AE$6:$AE$177,"&gt;"&amp;AE133)+COUNTIFS(AE$6:AE133,"="&amp;AE133)))</f>
        <v/>
      </c>
      <c r="D133" t="str">
        <f>IF(AG133=0,"",IF(COUNTIFS($AG$6:$AG$177,"&gt;"&amp;AG133)+COUNTIFS(AG$6:AG133,"="&amp;AG133)=0,"",COUNTIFS($AG$6:$AG$177,"&gt;"&amp;AG133)+COUNTIFS(AG$6:AG133,"="&amp;AG133)))</f>
        <v/>
      </c>
      <c r="F133" s="19"/>
      <c r="G133" s="52" t="str">
        <f>IFERROR(IF(VLOOKUP(F133,Lookups!$A$2:$F$111,2,FALSE)="","",VLOOKUP(F133,Lookups!$A$2:$F$111,2,FALSE)),"")</f>
        <v/>
      </c>
      <c r="H133" s="52" t="str">
        <f>IFERROR(IF(VLOOKUP(F133,Lookups!$A$2:$F$111,3,FALSE)="","",VLOOKUP(F133,Lookups!$A$2:$F$111,3,FALSE)),"")</f>
        <v/>
      </c>
      <c r="I133" s="52" t="str">
        <f>IFERROR(IF(AF133=0,"",VLOOKUP(AF133,Lookups!$K$2:$L$6,2,TRUE)),"")</f>
        <v/>
      </c>
      <c r="J133" s="52" t="str">
        <f>IF(AD133&lt;Lookups!$I$5,"Y","N")</f>
        <v>N</v>
      </c>
      <c r="K133" s="52" t="str">
        <f>IFERROR(IF(VLOOKUP(F133,Lookups!$A$2:$F$111,4,FALSE)="","",VLOOKUP(F133,Lookups!$A$2:$F$111,4,FALSE)),"")</f>
        <v/>
      </c>
      <c r="L133" s="52" t="str">
        <f>IFERROR(IF(VLOOKUP(F133,Lookups!$A$2:$F$111,5,FALSE)="","",VLOOKUP(F133,Lookups!$A$2:$F$111,5,FALSE)),"")</f>
        <v/>
      </c>
      <c r="M133" s="53" t="str">
        <f>IFERROR(IF(VLOOKUP(F133,Lookups!$A$2:$F$111,6,FALSE)="","",VLOOKUP(F133,Lookups!$A$2:$F$111,6,FALSE)),"")</f>
        <v/>
      </c>
      <c r="N133" s="57" t="str">
        <f>IFERROR(IF(VLOOKUP(F133,Scores!$A$1:$I$99,2,FALSE)="","",VLOOKUP(F133,Scores!$A$1:$I$99,2,FALSE)),"")</f>
        <v/>
      </c>
      <c r="O133" s="58" t="str">
        <f>IFERROR(IF(VLOOKUP(F133,Scores!$A$1:$I$99,3,FALSE)="","",VLOOKUP(F133,Scores!$A$1:$I$99,3,FALSE)),"")</f>
        <v/>
      </c>
      <c r="P133" s="58" t="str">
        <f>IFERROR(IF(VLOOKUP(F133,Scores!$A$1:$I$99,4,FALSE)="","",VLOOKUP(F133,Scores!$A$1:$I$99,4,FALSE)),"")</f>
        <v/>
      </c>
      <c r="Q133" s="58" t="str">
        <f>IFERROR(IF(VLOOKUP(F133,Scores!$A$1:$I$99,5,FALSE)="","",VLOOKUP(F133,Scores!$A$1:$I$99,5,FALSE)),"")</f>
        <v/>
      </c>
      <c r="R133" s="58" t="str">
        <f>IFERROR(IF(VLOOKUP(F133,Scores!$A$1:$I$99,6,FALSE)="","",VLOOKUP(F133,Scores!$A$1:$I$99,6,FALSE)),"")</f>
        <v/>
      </c>
      <c r="S133" s="58" t="str">
        <f>IFERROR(IF(VLOOKUP(F133,Scores!$A$1:$I$99,7,FALSE)="","",VLOOKUP(F133,Scores!$A$1:$I$99,7,FALSE)),"")</f>
        <v/>
      </c>
      <c r="T133" s="58" t="str">
        <f>IFERROR(IF(VLOOKUP(F133,Scores!$A$1:$I$99,8,FALSE)="","",VLOOKUP(F133,Scores!$A$1:$I$99,8,FALSE)),"")</f>
        <v/>
      </c>
      <c r="U133" s="60" t="str">
        <f>IFERROR(IF(VLOOKUP(F133,Scores!$A$1:$I$99,9,FALSE)="","",VLOOKUP(F133,Scores!$A$1:$I$99,9,FALSE)),"")</f>
        <v/>
      </c>
      <c r="V133" s="54" t="str">
        <f t="shared" si="43"/>
        <v/>
      </c>
      <c r="W133" s="55" t="str">
        <f t="shared" si="44"/>
        <v/>
      </c>
      <c r="X133" s="55" t="str">
        <f t="shared" si="45"/>
        <v/>
      </c>
      <c r="Y133" s="55" t="str">
        <f t="shared" si="46"/>
        <v/>
      </c>
      <c r="Z133" s="55" t="str">
        <f t="shared" si="47"/>
        <v/>
      </c>
      <c r="AA133" s="55" t="str">
        <f t="shared" si="48"/>
        <v/>
      </c>
      <c r="AB133" s="55" t="str">
        <f t="shared" si="49"/>
        <v/>
      </c>
      <c r="AC133" s="56" t="str">
        <f t="shared" si="50"/>
        <v/>
      </c>
      <c r="AD133" s="79" t="str">
        <f t="shared" si="51"/>
        <v/>
      </c>
      <c r="AE133" s="59" t="str">
        <f t="shared" si="52"/>
        <v/>
      </c>
      <c r="AF133" s="55" t="str" cm="1">
        <f t="array" ref="AF133">IFERROR(IF(AD133&gt;Lookups!$I$5-1,AVERAGE(LARGE(V133:AC133,_xlfn.SEQUENCE(Lookups!$I$5))),AVERAGE(LARGE(V133:AC133,_xlfn.SEQUENCE(AD133)))),"")</f>
        <v/>
      </c>
      <c r="AG133" s="124" t="str">
        <f t="shared" si="53"/>
        <v/>
      </c>
      <c r="AH133" s="78" t="str">
        <f>IF(AD133=Lookups!$I$5+1,LARGE(V133:AC133,5),"")</f>
        <v/>
      </c>
      <c r="AI133" s="78" t="str">
        <f>IF(AD133=Lookups!$I$5+2,LARGE(V133:AC133,6),"")</f>
        <v/>
      </c>
      <c r="AJ133" s="78"/>
      <c r="AK133" s="78"/>
      <c r="AL133" s="141"/>
      <c r="AM133" s="78"/>
      <c r="AN133" s="78"/>
      <c r="AO133" s="78"/>
      <c r="AP133" s="78"/>
      <c r="AQ133" s="78"/>
    </row>
    <row r="134" spans="1:43" ht="16.5" customHeight="1" x14ac:dyDescent="0.3">
      <c r="A134" t="str">
        <f>IF(AD134="","",COUNTIFS($H$6:$H$120,H134,$AF$6:$AF$120,"&gt;"&amp;AF134)+COUNTIFS(H$120:$H134,H134,AF$120:$AF134,AF134))</f>
        <v/>
      </c>
      <c r="B134" t="str">
        <f>IF(AD134=0,"",IF(COUNTIFS($AE$6:$AE$177,"&gt;"&amp;AE134)+COUNTIFS(AE$6:AE134,"="&amp;AE134)=0,"",COUNTIFS($AE$6:$AE$177,"&gt;"&amp;AE134)+COUNTIFS(AE$6:AE134,"="&amp;AE134)))</f>
        <v/>
      </c>
      <c r="D134" t="str">
        <f>IF(AG134=0,"",IF(COUNTIFS($AG$6:$AG$177,"&gt;"&amp;AG134)+COUNTIFS(AG$6:AG134,"="&amp;AG134)=0,"",COUNTIFS($AG$6:$AG$177,"&gt;"&amp;AG134)+COUNTIFS(AG$6:AG134,"="&amp;AG134)))</f>
        <v/>
      </c>
      <c r="F134" s="22"/>
      <c r="G134" s="52" t="str">
        <f>IFERROR(IF(VLOOKUP(F134,Lookups!$A$2:$F$111,2,FALSE)="","",VLOOKUP(F134,Lookups!$A$2:$F$111,2,FALSE)),"")</f>
        <v/>
      </c>
      <c r="H134" s="52" t="str">
        <f>IFERROR(IF(VLOOKUP(F134,Lookups!$A$2:$F$111,3,FALSE)="","",VLOOKUP(F134,Lookups!$A$2:$F$111,3,FALSE)),"")</f>
        <v/>
      </c>
      <c r="I134" s="52" t="str">
        <f>IFERROR(IF(AF134=0,"",VLOOKUP(AF134,Lookups!$K$2:$L$6,2,TRUE)),"")</f>
        <v/>
      </c>
      <c r="J134" s="52" t="str">
        <f>IF(AD134&lt;Lookups!$I$5,"Y","N")</f>
        <v>N</v>
      </c>
      <c r="K134" s="52" t="str">
        <f>IFERROR(IF(VLOOKUP(F134,Lookups!$A$2:$F$111,4,FALSE)="","",VLOOKUP(F134,Lookups!$A$2:$F$111,4,FALSE)),"")</f>
        <v/>
      </c>
      <c r="L134" s="52" t="str">
        <f>IFERROR(IF(VLOOKUP(F134,Lookups!$A$2:$F$111,5,FALSE)="","",VLOOKUP(F134,Lookups!$A$2:$F$111,5,FALSE)),"")</f>
        <v/>
      </c>
      <c r="M134" s="53" t="str">
        <f>IFERROR(IF(VLOOKUP(F134,Lookups!$A$2:$F$111,6,FALSE)="","",VLOOKUP(F134,Lookups!$A$2:$F$111,6,FALSE)),"")</f>
        <v/>
      </c>
      <c r="N134" s="57" t="str">
        <f>IFERROR(IF(VLOOKUP(F134,Scores!$A$1:$I$99,2,FALSE)="","",VLOOKUP(F134,Scores!$A$1:$I$99,2,FALSE)),"")</f>
        <v/>
      </c>
      <c r="O134" s="58" t="str">
        <f>IFERROR(IF(VLOOKUP(F134,Scores!$A$1:$I$99,3,FALSE)="","",VLOOKUP(F134,Scores!$A$1:$I$99,3,FALSE)),"")</f>
        <v/>
      </c>
      <c r="P134" s="58" t="str">
        <f>IFERROR(IF(VLOOKUP(F134,Scores!$A$1:$I$99,4,FALSE)="","",VLOOKUP(F134,Scores!$A$1:$I$99,4,FALSE)),"")</f>
        <v/>
      </c>
      <c r="Q134" s="58" t="str">
        <f>IFERROR(IF(VLOOKUP(F134,Scores!$A$1:$I$99,5,FALSE)="","",VLOOKUP(F134,Scores!$A$1:$I$99,5,FALSE)),"")</f>
        <v/>
      </c>
      <c r="R134" s="58" t="str">
        <f>IFERROR(IF(VLOOKUP(F134,Scores!$A$1:$I$99,6,FALSE)="","",VLOOKUP(F134,Scores!$A$1:$I$99,6,FALSE)),"")</f>
        <v/>
      </c>
      <c r="S134" s="58" t="str">
        <f>IFERROR(IF(VLOOKUP(F134,Scores!$A$1:$I$99,7,FALSE)="","",VLOOKUP(F134,Scores!$A$1:$I$99,7,FALSE)),"")</f>
        <v/>
      </c>
      <c r="T134" s="58" t="str">
        <f>IFERROR(IF(VLOOKUP(F134,Scores!$A$1:$I$99,8,FALSE)="","",VLOOKUP(F134,Scores!$A$1:$I$99,8,FALSE)),"")</f>
        <v/>
      </c>
      <c r="U134" s="60" t="str">
        <f>IFERROR(IF(VLOOKUP(F134,Scores!$A$1:$I$99,9,FALSE)="","",VLOOKUP(F134,Scores!$A$1:$I$99,9,FALSE)),"")</f>
        <v/>
      </c>
      <c r="V134" s="54" t="str">
        <f t="shared" si="43"/>
        <v/>
      </c>
      <c r="W134" s="55" t="str">
        <f t="shared" si="44"/>
        <v/>
      </c>
      <c r="X134" s="55" t="str">
        <f t="shared" si="45"/>
        <v/>
      </c>
      <c r="Y134" s="55" t="str">
        <f t="shared" si="46"/>
        <v/>
      </c>
      <c r="Z134" s="55" t="str">
        <f t="shared" si="47"/>
        <v/>
      </c>
      <c r="AA134" s="55" t="str">
        <f t="shared" si="48"/>
        <v/>
      </c>
      <c r="AB134" s="55" t="str">
        <f t="shared" si="49"/>
        <v/>
      </c>
      <c r="AC134" s="56" t="str">
        <f t="shared" si="50"/>
        <v/>
      </c>
      <c r="AD134" s="79" t="str">
        <f t="shared" si="51"/>
        <v/>
      </c>
      <c r="AE134" s="59" t="str">
        <f t="shared" si="52"/>
        <v/>
      </c>
      <c r="AF134" s="55" t="str" cm="1">
        <f t="array" ref="AF134">IFERROR(IF(AD134&gt;Lookups!$I$5-1,AVERAGE(LARGE(V134:AC134,_xlfn.SEQUENCE(Lookups!$I$5))),AVERAGE(LARGE(V134:AC134,_xlfn.SEQUENCE(AD134)))),"")</f>
        <v/>
      </c>
      <c r="AG134" s="124" t="str">
        <f t="shared" si="53"/>
        <v/>
      </c>
      <c r="AH134" s="78" t="str">
        <f>IF(AD134=Lookups!$I$5+1,LARGE(V134:AC134,5),"")</f>
        <v/>
      </c>
      <c r="AI134" s="78" t="str">
        <f>IF(AD134=Lookups!$I$5+2,LARGE(V134:AC134,6),"")</f>
        <v/>
      </c>
      <c r="AJ134" s="78"/>
      <c r="AK134" s="78"/>
      <c r="AL134" s="141"/>
      <c r="AM134" s="78"/>
      <c r="AN134" s="78"/>
      <c r="AO134" s="78"/>
      <c r="AP134" s="78"/>
      <c r="AQ134" s="78"/>
    </row>
    <row r="135" spans="1:43" ht="16.5" customHeight="1" x14ac:dyDescent="0.3">
      <c r="A135" t="str">
        <f>IF(AD135="","",COUNTIFS($H$6:$H$120,H135,$AF$6:$AF$120,"&gt;"&amp;AF135)+COUNTIFS(H$120:$H135,H135,AF$120:$AF135,AF135))</f>
        <v/>
      </c>
      <c r="B135" t="str">
        <f>IF(AD135=0,"",IF(COUNTIFS($AE$6:$AE$177,"&gt;"&amp;AE135)+COUNTIFS(AE$6:AE135,"="&amp;AE135)=0,"",COUNTIFS($AE$6:$AE$177,"&gt;"&amp;AE135)+COUNTIFS(AE$6:AE135,"="&amp;AE135)))</f>
        <v/>
      </c>
      <c r="D135" t="str">
        <f>IF(AG135=0,"",IF(COUNTIFS($AG$6:$AG$177,"&gt;"&amp;AG135)+COUNTIFS(AG$6:AG135,"="&amp;AG135)=0,"",COUNTIFS($AG$6:$AG$177,"&gt;"&amp;AG135)+COUNTIFS(AG$6:AG135,"="&amp;AG135)))</f>
        <v/>
      </c>
      <c r="F135" s="21"/>
      <c r="G135" s="52" t="str">
        <f>IFERROR(IF(VLOOKUP(F135,Lookups!$A$2:$F$111,2,FALSE)="","",VLOOKUP(F135,Lookups!$A$2:$F$111,2,FALSE)),"")</f>
        <v/>
      </c>
      <c r="H135" s="52" t="str">
        <f>IFERROR(IF(VLOOKUP(F135,Lookups!$A$2:$F$111,3,FALSE)="","",VLOOKUP(F135,Lookups!$A$2:$F$111,3,FALSE)),"")</f>
        <v/>
      </c>
      <c r="I135" s="52" t="str">
        <f>IFERROR(IF(AF135=0,"",VLOOKUP(AF135,Lookups!$K$2:$L$6,2,TRUE)),"")</f>
        <v/>
      </c>
      <c r="J135" s="52" t="str">
        <f>IF(AD135&lt;Lookups!$I$5,"Y","N")</f>
        <v>N</v>
      </c>
      <c r="K135" s="52" t="str">
        <f>IFERROR(IF(VLOOKUP(F135,Lookups!$A$2:$F$111,4,FALSE)="","",VLOOKUP(F135,Lookups!$A$2:$F$111,4,FALSE)),"")</f>
        <v/>
      </c>
      <c r="L135" s="52" t="str">
        <f>IFERROR(IF(VLOOKUP(F135,Lookups!$A$2:$F$111,5,FALSE)="","",VLOOKUP(F135,Lookups!$A$2:$F$111,5,FALSE)),"")</f>
        <v/>
      </c>
      <c r="M135" s="53" t="str">
        <f>IFERROR(IF(VLOOKUP(F135,Lookups!$A$2:$F$111,6,FALSE)="","",VLOOKUP(F135,Lookups!$A$2:$F$111,6,FALSE)),"")</f>
        <v/>
      </c>
      <c r="N135" s="57" t="str">
        <f>IFERROR(IF(VLOOKUP(F135,Scores!$A$1:$I$99,2,FALSE)="","",VLOOKUP(F135,Scores!$A$1:$I$99,2,FALSE)),"")</f>
        <v/>
      </c>
      <c r="O135" s="58" t="str">
        <f>IFERROR(IF(VLOOKUP(F135,Scores!$A$1:$I$99,3,FALSE)="","",VLOOKUP(F135,Scores!$A$1:$I$99,3,FALSE)),"")</f>
        <v/>
      </c>
      <c r="P135" s="58" t="str">
        <f>IFERROR(IF(VLOOKUP(F135,Scores!$A$1:$I$99,4,FALSE)="","",VLOOKUP(F135,Scores!$A$1:$I$99,4,FALSE)),"")</f>
        <v/>
      </c>
      <c r="Q135" s="58" t="str">
        <f>IFERROR(IF(VLOOKUP(F135,Scores!$A$1:$I$99,5,FALSE)="","",VLOOKUP(F135,Scores!$A$1:$I$99,5,FALSE)),"")</f>
        <v/>
      </c>
      <c r="R135" s="58" t="str">
        <f>IFERROR(IF(VLOOKUP(F135,Scores!$A$1:$I$99,6,FALSE)="","",VLOOKUP(F135,Scores!$A$1:$I$99,6,FALSE)),"")</f>
        <v/>
      </c>
      <c r="S135" s="58" t="str">
        <f>IFERROR(IF(VLOOKUP(F135,Scores!$A$1:$I$99,7,FALSE)="","",VLOOKUP(F135,Scores!$A$1:$I$99,7,FALSE)),"")</f>
        <v/>
      </c>
      <c r="T135" s="58" t="str">
        <f>IFERROR(IF(VLOOKUP(F135,Scores!$A$1:$I$99,8,FALSE)="","",VLOOKUP(F135,Scores!$A$1:$I$99,8,FALSE)),"")</f>
        <v/>
      </c>
      <c r="U135" s="60" t="str">
        <f>IFERROR(IF(VLOOKUP(F135,Scores!$A$1:$I$99,9,FALSE)="","",VLOOKUP(F135,Scores!$A$1:$I$99,9,FALSE)),"")</f>
        <v/>
      </c>
      <c r="V135" s="54" t="str">
        <f t="shared" si="43"/>
        <v/>
      </c>
      <c r="W135" s="55" t="str">
        <f t="shared" si="44"/>
        <v/>
      </c>
      <c r="X135" s="55" t="str">
        <f t="shared" si="45"/>
        <v/>
      </c>
      <c r="Y135" s="55" t="str">
        <f t="shared" si="46"/>
        <v/>
      </c>
      <c r="Z135" s="55" t="str">
        <f t="shared" si="47"/>
        <v/>
      </c>
      <c r="AA135" s="55" t="str">
        <f t="shared" si="48"/>
        <v/>
      </c>
      <c r="AB135" s="55" t="str">
        <f t="shared" si="49"/>
        <v/>
      </c>
      <c r="AC135" s="56" t="str">
        <f t="shared" si="50"/>
        <v/>
      </c>
      <c r="AD135" s="79" t="str">
        <f t="shared" si="51"/>
        <v/>
      </c>
      <c r="AE135" s="59" t="str">
        <f t="shared" si="52"/>
        <v/>
      </c>
      <c r="AF135" s="55" t="str" cm="1">
        <f t="array" ref="AF135">IFERROR(IF(AD135&gt;Lookups!$I$5-1,AVERAGE(LARGE(V135:AC135,_xlfn.SEQUENCE(Lookups!$I$5))),AVERAGE(LARGE(V135:AC135,_xlfn.SEQUENCE(AD135)))),"")</f>
        <v/>
      </c>
      <c r="AG135" s="124" t="str">
        <f t="shared" si="53"/>
        <v/>
      </c>
      <c r="AH135" s="78" t="str">
        <f>IF(AD135=Lookups!$I$5+1,LARGE(V135:AC135,5),"")</f>
        <v/>
      </c>
      <c r="AI135" s="78" t="str">
        <f>IF(AD135=Lookups!$I$5+2,LARGE(V135:AC135,6),"")</f>
        <v/>
      </c>
      <c r="AJ135" s="78"/>
      <c r="AK135" s="78"/>
      <c r="AL135" s="141"/>
      <c r="AM135" s="78"/>
      <c r="AN135" s="78"/>
      <c r="AO135" s="78"/>
      <c r="AP135" s="78"/>
      <c r="AQ135" s="78"/>
    </row>
    <row r="136" spans="1:43" ht="16.5" customHeight="1" x14ac:dyDescent="0.3">
      <c r="A136" t="str">
        <f>IF(AD136="","",COUNTIFS($H$6:$H$120,H136,$AF$6:$AF$120,"&gt;"&amp;AF136)+COUNTIFS(H$120:$H136,H136,AF$120:$AF136,AF136))</f>
        <v/>
      </c>
      <c r="B136" t="str">
        <f>IF(AD136=0,"",IF(COUNTIFS($AE$6:$AE$177,"&gt;"&amp;AE136)+COUNTIFS(AE$6:AE136,"="&amp;AE136)=0,"",COUNTIFS($AE$6:$AE$177,"&gt;"&amp;AE136)+COUNTIFS(AE$6:AE136,"="&amp;AE136)))</f>
        <v/>
      </c>
      <c r="D136" t="str">
        <f>IF(AG136=0,"",IF(COUNTIFS($AG$6:$AG$177,"&gt;"&amp;AG136)+COUNTIFS(AG$6:AG136,"="&amp;AG136)=0,"",COUNTIFS($AG$6:$AG$177,"&gt;"&amp;AG136)+COUNTIFS(AG$6:AG136,"="&amp;AG136)))</f>
        <v/>
      </c>
      <c r="F136" s="21"/>
      <c r="G136" s="52" t="str">
        <f>IFERROR(IF(VLOOKUP(F136,Lookups!$A$2:$F$111,2,FALSE)="","",VLOOKUP(F136,Lookups!$A$2:$F$111,2,FALSE)),"")</f>
        <v/>
      </c>
      <c r="H136" s="52" t="str">
        <f>IFERROR(IF(VLOOKUP(F136,Lookups!$A$2:$F$111,3,FALSE)="","",VLOOKUP(F136,Lookups!$A$2:$F$111,3,FALSE)),"")</f>
        <v/>
      </c>
      <c r="I136" s="52" t="str">
        <f>IFERROR(IF(AF136=0,"",VLOOKUP(AF136,Lookups!$K$2:$L$6,2,TRUE)),"")</f>
        <v/>
      </c>
      <c r="J136" s="52" t="str">
        <f>IF(AD136&lt;Lookups!$I$5,"Y","N")</f>
        <v>N</v>
      </c>
      <c r="K136" s="52" t="str">
        <f>IFERROR(IF(VLOOKUP(F136,Lookups!$A$2:$F$111,4,FALSE)="","",VLOOKUP(F136,Lookups!$A$2:$F$111,4,FALSE)),"")</f>
        <v/>
      </c>
      <c r="L136" s="52" t="str">
        <f>IFERROR(IF(VLOOKUP(F136,Lookups!$A$2:$F$111,5,FALSE)="","",VLOOKUP(F136,Lookups!$A$2:$F$111,5,FALSE)),"")</f>
        <v/>
      </c>
      <c r="M136" s="53" t="str">
        <f>IFERROR(IF(VLOOKUP(F136,Lookups!$A$2:$F$111,6,FALSE)="","",VLOOKUP(F136,Lookups!$A$2:$F$111,6,FALSE)),"")</f>
        <v/>
      </c>
      <c r="N136" s="57" t="str">
        <f>IFERROR(IF(VLOOKUP(F136,Scores!$A$1:$I$99,2,FALSE)="","",VLOOKUP(F136,Scores!$A$1:$I$99,2,FALSE)),"")</f>
        <v/>
      </c>
      <c r="O136" s="58" t="str">
        <f>IFERROR(IF(VLOOKUP(F136,Scores!$A$1:$I$99,3,FALSE)="","",VLOOKUP(F136,Scores!$A$1:$I$99,3,FALSE)),"")</f>
        <v/>
      </c>
      <c r="P136" s="58" t="str">
        <f>IFERROR(IF(VLOOKUP(F136,Scores!$A$1:$I$99,4,FALSE)="","",VLOOKUP(F136,Scores!$A$1:$I$99,4,FALSE)),"")</f>
        <v/>
      </c>
      <c r="Q136" s="58" t="str">
        <f>IFERROR(IF(VLOOKUP(F136,Scores!$A$1:$I$99,5,FALSE)="","",VLOOKUP(F136,Scores!$A$1:$I$99,5,FALSE)),"")</f>
        <v/>
      </c>
      <c r="R136" s="58" t="str">
        <f>IFERROR(IF(VLOOKUP(F136,Scores!$A$1:$I$99,6,FALSE)="","",VLOOKUP(F136,Scores!$A$1:$I$99,6,FALSE)),"")</f>
        <v/>
      </c>
      <c r="S136" s="58" t="str">
        <f>IFERROR(IF(VLOOKUP(F136,Scores!$A$1:$I$99,7,FALSE)="","",VLOOKUP(F136,Scores!$A$1:$I$99,7,FALSE)),"")</f>
        <v/>
      </c>
      <c r="T136" s="58" t="str">
        <f>IFERROR(IF(VLOOKUP(F136,Scores!$A$1:$I$99,8,FALSE)="","",VLOOKUP(F136,Scores!$A$1:$I$99,8,FALSE)),"")</f>
        <v/>
      </c>
      <c r="U136" s="60" t="str">
        <f>IFERROR(IF(VLOOKUP(F136,Scores!$A$1:$I$99,9,FALSE)="","",VLOOKUP(F136,Scores!$A$1:$I$99,9,FALSE)),"")</f>
        <v/>
      </c>
      <c r="V136" s="54" t="str">
        <f t="shared" si="43"/>
        <v/>
      </c>
      <c r="W136" s="55" t="str">
        <f t="shared" si="44"/>
        <v/>
      </c>
      <c r="X136" s="55" t="str">
        <f t="shared" si="45"/>
        <v/>
      </c>
      <c r="Y136" s="55" t="str">
        <f t="shared" si="46"/>
        <v/>
      </c>
      <c r="Z136" s="55" t="str">
        <f t="shared" si="47"/>
        <v/>
      </c>
      <c r="AA136" s="55" t="str">
        <f t="shared" si="48"/>
        <v/>
      </c>
      <c r="AB136" s="55" t="str">
        <f t="shared" si="49"/>
        <v/>
      </c>
      <c r="AC136" s="56" t="str">
        <f t="shared" si="50"/>
        <v/>
      </c>
      <c r="AD136" s="79" t="str">
        <f t="shared" si="51"/>
        <v/>
      </c>
      <c r="AE136" s="59" t="str">
        <f t="shared" si="52"/>
        <v/>
      </c>
      <c r="AF136" s="55" t="str" cm="1">
        <f t="array" ref="AF136">IFERROR(IF(AD136&gt;Lookups!$I$5-1,AVERAGE(LARGE(V136:AC136,_xlfn.SEQUENCE(Lookups!$I$5))),AVERAGE(LARGE(V136:AC136,_xlfn.SEQUENCE(AD136)))),"")</f>
        <v/>
      </c>
      <c r="AG136" s="124" t="str">
        <f t="shared" si="53"/>
        <v/>
      </c>
      <c r="AH136" s="78" t="str">
        <f>IF(AD136=Lookups!$I$5+1,LARGE(V136:AC136,5),"")</f>
        <v/>
      </c>
      <c r="AI136" s="78" t="str">
        <f>IF(AD136=Lookups!$I$5+2,LARGE(V136:AC136,6),"")</f>
        <v/>
      </c>
      <c r="AJ136" s="78"/>
      <c r="AK136" s="78"/>
      <c r="AL136" s="141"/>
      <c r="AM136" s="78"/>
      <c r="AN136" s="78"/>
      <c r="AO136" s="78"/>
      <c r="AP136" s="78"/>
      <c r="AQ136" s="78"/>
    </row>
    <row r="137" spans="1:43" ht="16.5" customHeight="1" x14ac:dyDescent="0.3">
      <c r="A137" t="str">
        <f>IF(AD137="","",COUNTIFS($H$6:$H$120,H137,$AF$6:$AF$120,"&gt;"&amp;AF137)+COUNTIFS(H$120:$H137,H137,AF$120:$AF137,AF137))</f>
        <v/>
      </c>
      <c r="B137" t="str">
        <f>IF(AD137=0,"",IF(COUNTIFS($AE$6:$AE$177,"&gt;"&amp;AE137)+COUNTIFS(AE$6:AE137,"="&amp;AE137)=0,"",COUNTIFS($AE$6:$AE$177,"&gt;"&amp;AE137)+COUNTIFS(AE$6:AE137,"="&amp;AE137)))</f>
        <v/>
      </c>
      <c r="D137" t="str">
        <f>IF(AG137=0,"",IF(COUNTIFS($AG$6:$AG$177,"&gt;"&amp;AG137)+COUNTIFS(AG$6:AG137,"="&amp;AG137)=0,"",COUNTIFS($AG$6:$AG$177,"&gt;"&amp;AG137)+COUNTIFS(AG$6:AG137,"="&amp;AG137)))</f>
        <v/>
      </c>
      <c r="F137" s="21"/>
      <c r="G137" s="52" t="str">
        <f>IFERROR(IF(VLOOKUP(F137,Lookups!$A$2:$F$111,2,FALSE)="","",VLOOKUP(F137,Lookups!$A$2:$F$111,2,FALSE)),"")</f>
        <v/>
      </c>
      <c r="H137" s="52" t="str">
        <f>IFERROR(IF(VLOOKUP(F137,Lookups!$A$2:$F$111,3,FALSE)="","",VLOOKUP(F137,Lookups!$A$2:$F$111,3,FALSE)),"")</f>
        <v/>
      </c>
      <c r="I137" s="52" t="str">
        <f>IFERROR(IF(AF137=0,"",VLOOKUP(AF137,Lookups!$K$2:$L$6,2,TRUE)),"")</f>
        <v/>
      </c>
      <c r="J137" s="52" t="str">
        <f>IF(AD137&lt;Lookups!$I$5,"Y","N")</f>
        <v>N</v>
      </c>
      <c r="K137" s="52" t="str">
        <f>IFERROR(IF(VLOOKUP(F137,Lookups!$A$2:$F$111,4,FALSE)="","",VLOOKUP(F137,Lookups!$A$2:$F$111,4,FALSE)),"")</f>
        <v/>
      </c>
      <c r="L137" s="52" t="str">
        <f>IFERROR(IF(VLOOKUP(F137,Lookups!$A$2:$F$111,5,FALSE)="","",VLOOKUP(F137,Lookups!$A$2:$F$111,5,FALSE)),"")</f>
        <v/>
      </c>
      <c r="M137" s="53" t="str">
        <f>IFERROR(IF(VLOOKUP(F137,Lookups!$A$2:$F$111,6,FALSE)="","",VLOOKUP(F137,Lookups!$A$2:$F$111,6,FALSE)),"")</f>
        <v/>
      </c>
      <c r="N137" s="57" t="str">
        <f>IFERROR(IF(VLOOKUP(F137,Scores!$A$1:$I$99,2,FALSE)="","",VLOOKUP(F137,Scores!$A$1:$I$99,2,FALSE)),"")</f>
        <v/>
      </c>
      <c r="O137" s="58" t="str">
        <f>IFERROR(IF(VLOOKUP(F137,Scores!$A$1:$I$99,3,FALSE)="","",VLOOKUP(F137,Scores!$A$1:$I$99,3,FALSE)),"")</f>
        <v/>
      </c>
      <c r="P137" s="58" t="str">
        <f>IFERROR(IF(VLOOKUP(F137,Scores!$A$1:$I$99,4,FALSE)="","",VLOOKUP(F137,Scores!$A$1:$I$99,4,FALSE)),"")</f>
        <v/>
      </c>
      <c r="Q137" s="58" t="str">
        <f>IFERROR(IF(VLOOKUP(F137,Scores!$A$1:$I$99,5,FALSE)="","",VLOOKUP(F137,Scores!$A$1:$I$99,5,FALSE)),"")</f>
        <v/>
      </c>
      <c r="R137" s="58" t="str">
        <f>IFERROR(IF(VLOOKUP(F137,Scores!$A$1:$I$99,6,FALSE)="","",VLOOKUP(F137,Scores!$A$1:$I$99,6,FALSE)),"")</f>
        <v/>
      </c>
      <c r="S137" s="58" t="str">
        <f>IFERROR(IF(VLOOKUP(F137,Scores!$A$1:$I$99,7,FALSE)="","",VLOOKUP(F137,Scores!$A$1:$I$99,7,FALSE)),"")</f>
        <v/>
      </c>
      <c r="T137" s="58" t="str">
        <f>IFERROR(IF(VLOOKUP(F137,Scores!$A$1:$I$99,8,FALSE)="","",VLOOKUP(F137,Scores!$A$1:$I$99,8,FALSE)),"")</f>
        <v/>
      </c>
      <c r="U137" s="60" t="str">
        <f>IFERROR(IF(VLOOKUP(F137,Scores!$A$1:$I$99,9,FALSE)="","",VLOOKUP(F137,Scores!$A$1:$I$99,9,FALSE)),"")</f>
        <v/>
      </c>
      <c r="V137" s="54" t="str">
        <f t="shared" si="43"/>
        <v/>
      </c>
      <c r="W137" s="55" t="str">
        <f t="shared" si="44"/>
        <v/>
      </c>
      <c r="X137" s="55" t="str">
        <f t="shared" si="45"/>
        <v/>
      </c>
      <c r="Y137" s="55" t="str">
        <f t="shared" si="46"/>
        <v/>
      </c>
      <c r="Z137" s="55" t="str">
        <f t="shared" si="47"/>
        <v/>
      </c>
      <c r="AA137" s="55" t="str">
        <f t="shared" si="48"/>
        <v/>
      </c>
      <c r="AB137" s="55" t="str">
        <f t="shared" si="49"/>
        <v/>
      </c>
      <c r="AC137" s="56" t="str">
        <f t="shared" si="50"/>
        <v/>
      </c>
      <c r="AD137" s="79" t="str">
        <f t="shared" si="51"/>
        <v/>
      </c>
      <c r="AE137" s="59" t="str">
        <f t="shared" si="52"/>
        <v/>
      </c>
      <c r="AF137" s="55" t="str" cm="1">
        <f t="array" ref="AF137">IFERROR(IF(AD137&gt;Lookups!$I$5-1,AVERAGE(LARGE(V137:AC137,_xlfn.SEQUENCE(Lookups!$I$5))),AVERAGE(LARGE(V137:AC137,_xlfn.SEQUENCE(AD137)))),"")</f>
        <v/>
      </c>
      <c r="AG137" s="124" t="str">
        <f t="shared" si="53"/>
        <v/>
      </c>
      <c r="AH137" s="78" t="str">
        <f>IF(AD137=Lookups!$I$5+1,LARGE(V137:AC137,5),"")</f>
        <v/>
      </c>
      <c r="AI137" s="78" t="str">
        <f>IF(AD137=Lookups!$I$5+2,LARGE(V137:AC137,6),"")</f>
        <v/>
      </c>
      <c r="AJ137" s="78"/>
      <c r="AK137" s="78"/>
      <c r="AL137" s="141"/>
      <c r="AM137" s="78"/>
      <c r="AN137" s="78"/>
      <c r="AO137" s="78"/>
      <c r="AP137" s="78"/>
      <c r="AQ137" s="78"/>
    </row>
    <row r="138" spans="1:43" ht="16.5" customHeight="1" x14ac:dyDescent="0.3">
      <c r="A138" t="str">
        <f>IF(AD138="","",COUNTIFS($H$6:$H$120,H138,$AF$6:$AF$120,"&gt;"&amp;AF138)+COUNTIFS(H$120:$H138,H138,AF$120:$AF138,AF138))</f>
        <v/>
      </c>
      <c r="B138" t="str">
        <f>IF(AD138=0,"",IF(COUNTIFS($AE$6:$AE$177,"&gt;"&amp;AE138)+COUNTIFS(AE$6:AE138,"="&amp;AE138)=0,"",COUNTIFS($AE$6:$AE$177,"&gt;"&amp;AE138)+COUNTIFS(AE$6:AE138,"="&amp;AE138)))</f>
        <v/>
      </c>
      <c r="D138" t="str">
        <f>IF(AG138=0,"",IF(COUNTIFS($AG$6:$AG$177,"&gt;"&amp;AG138)+COUNTIFS(AG$6:AG138,"="&amp;AG138)=0,"",COUNTIFS($AG$6:$AG$177,"&gt;"&amp;AG138)+COUNTIFS(AG$6:AG138,"="&amp;AG138)))</f>
        <v/>
      </c>
      <c r="F138" s="21"/>
      <c r="G138" s="52" t="str">
        <f>IFERROR(IF(VLOOKUP(F138,Lookups!$A$2:$F$111,2,FALSE)="","",VLOOKUP(F138,Lookups!$A$2:$F$111,2,FALSE)),"")</f>
        <v/>
      </c>
      <c r="H138" s="52" t="str">
        <f>IFERROR(IF(VLOOKUP(F138,Lookups!$A$2:$F$111,3,FALSE)="","",VLOOKUP(F138,Lookups!$A$2:$F$111,3,FALSE)),"")</f>
        <v/>
      </c>
      <c r="I138" s="52" t="str">
        <f>IFERROR(IF(AF138=0,"",VLOOKUP(AF138,Lookups!$K$2:$L$6,2,TRUE)),"")</f>
        <v/>
      </c>
      <c r="J138" s="52" t="str">
        <f>IF(AD138&lt;Lookups!$I$5,"Y","N")</f>
        <v>N</v>
      </c>
      <c r="K138" s="52" t="str">
        <f>IFERROR(IF(VLOOKUP(F138,Lookups!$A$2:$F$111,4,FALSE)="","",VLOOKUP(F138,Lookups!$A$2:$F$111,4,FALSE)),"")</f>
        <v/>
      </c>
      <c r="L138" s="52" t="str">
        <f>IFERROR(IF(VLOOKUP(F138,Lookups!$A$2:$F$111,5,FALSE)="","",VLOOKUP(F138,Lookups!$A$2:$F$111,5,FALSE)),"")</f>
        <v/>
      </c>
      <c r="M138" s="53" t="str">
        <f>IFERROR(IF(VLOOKUP(F138,Lookups!$A$2:$F$111,6,FALSE)="","",VLOOKUP(F138,Lookups!$A$2:$F$111,6,FALSE)),"")</f>
        <v/>
      </c>
      <c r="N138" s="57" t="str">
        <f>IFERROR(IF(VLOOKUP(F138,Scores!$A$1:$I$99,2,FALSE)="","",VLOOKUP(F138,Scores!$A$1:$I$99,2,FALSE)),"")</f>
        <v/>
      </c>
      <c r="O138" s="58" t="str">
        <f>IFERROR(IF(VLOOKUP(F138,Scores!$A$1:$I$99,3,FALSE)="","",VLOOKUP(F138,Scores!$A$1:$I$99,3,FALSE)),"")</f>
        <v/>
      </c>
      <c r="P138" s="58" t="str">
        <f>IFERROR(IF(VLOOKUP(F138,Scores!$A$1:$I$99,4,FALSE)="","",VLOOKUP(F138,Scores!$A$1:$I$99,4,FALSE)),"")</f>
        <v/>
      </c>
      <c r="Q138" s="58" t="str">
        <f>IFERROR(IF(VLOOKUP(F138,Scores!$A$1:$I$99,5,FALSE)="","",VLOOKUP(F138,Scores!$A$1:$I$99,5,FALSE)),"")</f>
        <v/>
      </c>
      <c r="R138" s="58" t="str">
        <f>IFERROR(IF(VLOOKUP(F138,Scores!$A$1:$I$99,6,FALSE)="","",VLOOKUP(F138,Scores!$A$1:$I$99,6,FALSE)),"")</f>
        <v/>
      </c>
      <c r="S138" s="58" t="str">
        <f>IFERROR(IF(VLOOKUP(F138,Scores!$A$1:$I$99,7,FALSE)="","",VLOOKUP(F138,Scores!$A$1:$I$99,7,FALSE)),"")</f>
        <v/>
      </c>
      <c r="T138" s="58" t="str">
        <f>IFERROR(IF(VLOOKUP(F138,Scores!$A$1:$I$99,8,FALSE)="","",VLOOKUP(F138,Scores!$A$1:$I$99,8,FALSE)),"")</f>
        <v/>
      </c>
      <c r="U138" s="60" t="str">
        <f>IFERROR(IF(VLOOKUP(F138,Scores!$A$1:$I$99,9,FALSE)="","",VLOOKUP(F138,Scores!$A$1:$I$99,9,FALSE)),"")</f>
        <v/>
      </c>
      <c r="V138" s="54" t="str">
        <f t="shared" si="43"/>
        <v/>
      </c>
      <c r="W138" s="55" t="str">
        <f t="shared" si="44"/>
        <v/>
      </c>
      <c r="X138" s="55" t="str">
        <f t="shared" si="45"/>
        <v/>
      </c>
      <c r="Y138" s="55" t="str">
        <f t="shared" si="46"/>
        <v/>
      </c>
      <c r="Z138" s="55" t="str">
        <f t="shared" si="47"/>
        <v/>
      </c>
      <c r="AA138" s="55" t="str">
        <f t="shared" si="48"/>
        <v/>
      </c>
      <c r="AB138" s="55" t="str">
        <f t="shared" si="49"/>
        <v/>
      </c>
      <c r="AC138" s="56" t="str">
        <f t="shared" si="50"/>
        <v/>
      </c>
      <c r="AD138" s="79" t="str">
        <f t="shared" si="51"/>
        <v/>
      </c>
      <c r="AE138" s="59" t="str">
        <f t="shared" si="52"/>
        <v/>
      </c>
      <c r="AF138" s="55" t="str" cm="1">
        <f t="array" ref="AF138">IFERROR(IF(AD138&gt;Lookups!$I$5-1,AVERAGE(LARGE(V138:AC138,_xlfn.SEQUENCE(Lookups!$I$5))),AVERAGE(LARGE(V138:AC138,_xlfn.SEQUENCE(AD138)))),"")</f>
        <v/>
      </c>
      <c r="AG138" s="124" t="str">
        <f t="shared" si="53"/>
        <v/>
      </c>
      <c r="AH138" s="78" t="str">
        <f>IF(AD138=Lookups!$I$5+1,LARGE(V138:AC138,5),"")</f>
        <v/>
      </c>
      <c r="AI138" s="78" t="str">
        <f>IF(AD138=Lookups!$I$5+2,LARGE(V138:AC138,6),"")</f>
        <v/>
      </c>
      <c r="AJ138" s="78"/>
      <c r="AK138" s="78"/>
      <c r="AL138" s="141"/>
      <c r="AM138" s="78"/>
      <c r="AN138" s="78"/>
      <c r="AO138" s="78"/>
      <c r="AP138" s="78"/>
      <c r="AQ138" s="78"/>
    </row>
    <row r="139" spans="1:43" ht="16.5" customHeight="1" x14ac:dyDescent="0.3">
      <c r="A139" t="str">
        <f>IF(AD139="","",COUNTIFS($H$6:$H$120,H139,$AF$6:$AF$120,"&gt;"&amp;AF139)+COUNTIFS(H$120:$H139,H139,AF$120:$AF139,AF139))</f>
        <v/>
      </c>
      <c r="B139" t="str">
        <f>IF(AD139=0,"",IF(COUNTIFS($AE$6:$AE$177,"&gt;"&amp;AE139)+COUNTIFS(AE$6:AE139,"="&amp;AE139)=0,"",COUNTIFS($AE$6:$AE$177,"&gt;"&amp;AE139)+COUNTIFS(AE$6:AE139,"="&amp;AE139)))</f>
        <v/>
      </c>
      <c r="D139" t="str">
        <f>IF(AG139=0,"",IF(COUNTIFS($AG$6:$AG$177,"&gt;"&amp;AG139)+COUNTIFS(AG$6:AG139,"="&amp;AG139)=0,"",COUNTIFS($AG$6:$AG$177,"&gt;"&amp;AG139)+COUNTIFS(AG$6:AG139,"="&amp;AG139)))</f>
        <v/>
      </c>
      <c r="F139" s="21"/>
      <c r="G139" s="52" t="str">
        <f>IFERROR(IF(VLOOKUP(F139,Lookups!$A$2:$F$111,2,FALSE)="","",VLOOKUP(F139,Lookups!$A$2:$F$111,2,FALSE)),"")</f>
        <v/>
      </c>
      <c r="H139" s="52" t="str">
        <f>IFERROR(IF(VLOOKUP(F139,Lookups!$A$2:$F$111,3,FALSE)="","",VLOOKUP(F139,Lookups!$A$2:$F$111,3,FALSE)),"")</f>
        <v/>
      </c>
      <c r="I139" s="52" t="str">
        <f>IFERROR(IF(AF139=0,"",VLOOKUP(AF139,Lookups!$K$2:$L$6,2,TRUE)),"")</f>
        <v/>
      </c>
      <c r="J139" s="52" t="str">
        <f>IF(AD139&lt;Lookups!$I$5,"Y","N")</f>
        <v>N</v>
      </c>
      <c r="K139" s="52" t="str">
        <f>IFERROR(IF(VLOOKUP(F139,Lookups!$A$2:$F$111,4,FALSE)="","",VLOOKUP(F139,Lookups!$A$2:$F$111,4,FALSE)),"")</f>
        <v/>
      </c>
      <c r="L139" s="52" t="str">
        <f>IFERROR(IF(VLOOKUP(F139,Lookups!$A$2:$F$111,5,FALSE)="","",VLOOKUP(F139,Lookups!$A$2:$F$111,5,FALSE)),"")</f>
        <v/>
      </c>
      <c r="M139" s="53" t="str">
        <f>IFERROR(IF(VLOOKUP(F139,Lookups!$A$2:$F$111,6,FALSE)="","",VLOOKUP(F139,Lookups!$A$2:$F$111,6,FALSE)),"")</f>
        <v/>
      </c>
      <c r="N139" s="57" t="str">
        <f>IFERROR(IF(VLOOKUP(F139,Scores!$A$1:$I$99,2,FALSE)="","",VLOOKUP(F139,Scores!$A$1:$I$99,2,FALSE)),"")</f>
        <v/>
      </c>
      <c r="O139" s="58" t="str">
        <f>IFERROR(IF(VLOOKUP(F139,Scores!$A$1:$I$99,3,FALSE)="","",VLOOKUP(F139,Scores!$A$1:$I$99,3,FALSE)),"")</f>
        <v/>
      </c>
      <c r="P139" s="58" t="str">
        <f>IFERROR(IF(VLOOKUP(F139,Scores!$A$1:$I$99,4,FALSE)="","",VLOOKUP(F139,Scores!$A$1:$I$99,4,FALSE)),"")</f>
        <v/>
      </c>
      <c r="Q139" s="58" t="str">
        <f>IFERROR(IF(VLOOKUP(F139,Scores!$A$1:$I$99,5,FALSE)="","",VLOOKUP(F139,Scores!$A$1:$I$99,5,FALSE)),"")</f>
        <v/>
      </c>
      <c r="R139" s="58" t="str">
        <f>IFERROR(IF(VLOOKUP(F139,Scores!$A$1:$I$99,6,FALSE)="","",VLOOKUP(F139,Scores!$A$1:$I$99,6,FALSE)),"")</f>
        <v/>
      </c>
      <c r="S139" s="58" t="str">
        <f>IFERROR(IF(VLOOKUP(F139,Scores!$A$1:$I$99,7,FALSE)="","",VLOOKUP(F139,Scores!$A$1:$I$99,7,FALSE)),"")</f>
        <v/>
      </c>
      <c r="T139" s="58" t="str">
        <f>IFERROR(IF(VLOOKUP(F139,Scores!$A$1:$I$99,8,FALSE)="","",VLOOKUP(F139,Scores!$A$1:$I$99,8,FALSE)),"")</f>
        <v/>
      </c>
      <c r="U139" s="60" t="str">
        <f>IFERROR(IF(VLOOKUP(F139,Scores!$A$1:$I$99,9,FALSE)="","",VLOOKUP(F139,Scores!$A$1:$I$99,9,FALSE)),"")</f>
        <v/>
      </c>
      <c r="V139" s="54" t="str">
        <f t="shared" si="43"/>
        <v/>
      </c>
      <c r="W139" s="55" t="str">
        <f t="shared" si="44"/>
        <v/>
      </c>
      <c r="X139" s="55" t="str">
        <f t="shared" si="45"/>
        <v/>
      </c>
      <c r="Y139" s="55" t="str">
        <f t="shared" si="46"/>
        <v/>
      </c>
      <c r="Z139" s="55" t="str">
        <f t="shared" si="47"/>
        <v/>
      </c>
      <c r="AA139" s="55" t="str">
        <f t="shared" si="48"/>
        <v/>
      </c>
      <c r="AB139" s="55" t="str">
        <f t="shared" si="49"/>
        <v/>
      </c>
      <c r="AC139" s="56" t="str">
        <f t="shared" si="50"/>
        <v/>
      </c>
      <c r="AD139" s="79" t="str">
        <f t="shared" si="51"/>
        <v/>
      </c>
      <c r="AE139" s="59" t="str">
        <f t="shared" si="52"/>
        <v/>
      </c>
      <c r="AF139" s="55" t="str" cm="1">
        <f t="array" ref="AF139">IFERROR(IF(AD139&gt;Lookups!$I$5-1,AVERAGE(LARGE(V139:AC139,_xlfn.SEQUENCE(Lookups!$I$5))),AVERAGE(LARGE(V139:AC139,_xlfn.SEQUENCE(AD139)))),"")</f>
        <v/>
      </c>
      <c r="AG139" s="124" t="str">
        <f t="shared" si="53"/>
        <v/>
      </c>
      <c r="AH139" s="78" t="str">
        <f>IF(AD139=Lookups!$I$5+1,LARGE(V139:AC139,5),"")</f>
        <v/>
      </c>
      <c r="AI139" s="78" t="str">
        <f>IF(AD139=Lookups!$I$5+2,LARGE(V139:AC139,6),"")</f>
        <v/>
      </c>
      <c r="AJ139" s="78"/>
      <c r="AK139" s="78"/>
      <c r="AL139" s="141"/>
      <c r="AM139" s="78"/>
      <c r="AN139" s="78"/>
      <c r="AO139" s="78"/>
      <c r="AP139" s="78"/>
      <c r="AQ139" s="78"/>
    </row>
    <row r="140" spans="1:43" ht="16.5" customHeight="1" x14ac:dyDescent="0.3">
      <c r="A140" t="str">
        <f>IF(AD140="","",COUNTIFS($H$6:$H$120,H140,$AF$6:$AF$120,"&gt;"&amp;AF140)+COUNTIFS(H$120:$H140,H140,AF$120:$AF140,AF140))</f>
        <v/>
      </c>
      <c r="B140" t="str">
        <f>IF(AD140=0,"",IF(COUNTIFS($AE$6:$AE$177,"&gt;"&amp;AE140)+COUNTIFS(AE$6:AE140,"="&amp;AE140)=0,"",COUNTIFS($AE$6:$AE$177,"&gt;"&amp;AE140)+COUNTIFS(AE$6:AE140,"="&amp;AE140)))</f>
        <v/>
      </c>
      <c r="D140" t="str">
        <f>IF(AG140=0,"",IF(COUNTIFS($AG$6:$AG$177,"&gt;"&amp;AG140)+COUNTIFS(AG$6:AG140,"="&amp;AG140)=0,"",COUNTIFS($AG$6:$AG$177,"&gt;"&amp;AG140)+COUNTIFS(AG$6:AG140,"="&amp;AG140)))</f>
        <v/>
      </c>
      <c r="F140" s="21"/>
      <c r="G140" s="52" t="str">
        <f>IFERROR(IF(VLOOKUP(F140,Lookups!$A$2:$F$111,2,FALSE)="","",VLOOKUP(F140,Lookups!$A$2:$F$111,2,FALSE)),"")</f>
        <v/>
      </c>
      <c r="H140" s="52" t="str">
        <f>IFERROR(IF(VLOOKUP(F140,Lookups!$A$2:$F$111,3,FALSE)="","",VLOOKUP(F140,Lookups!$A$2:$F$111,3,FALSE)),"")</f>
        <v/>
      </c>
      <c r="I140" s="52" t="str">
        <f>IFERROR(IF(AF140=0,"",VLOOKUP(AF140,Lookups!$K$2:$L$6,2,TRUE)),"")</f>
        <v/>
      </c>
      <c r="J140" s="52" t="str">
        <f>IF(AD140&lt;Lookups!$I$5,"Y","N")</f>
        <v>N</v>
      </c>
      <c r="K140" s="52" t="str">
        <f>IFERROR(IF(VLOOKUP(F140,Lookups!$A$2:$F$111,4,FALSE)="","",VLOOKUP(F140,Lookups!$A$2:$F$111,4,FALSE)),"")</f>
        <v/>
      </c>
      <c r="L140" s="52" t="str">
        <f>IFERROR(IF(VLOOKUP(F140,Lookups!$A$2:$F$111,5,FALSE)="","",VLOOKUP(F140,Lookups!$A$2:$F$111,5,FALSE)),"")</f>
        <v/>
      </c>
      <c r="M140" s="53" t="str">
        <f>IFERROR(IF(VLOOKUP(F140,Lookups!$A$2:$F$111,6,FALSE)="","",VLOOKUP(F140,Lookups!$A$2:$F$111,6,FALSE)),"")</f>
        <v/>
      </c>
      <c r="N140" s="57" t="str">
        <f>IFERROR(IF(VLOOKUP(F140,Scores!$A$1:$I$99,2,FALSE)="","",VLOOKUP(F140,Scores!$A$1:$I$99,2,FALSE)),"")</f>
        <v/>
      </c>
      <c r="O140" s="58" t="str">
        <f>IFERROR(IF(VLOOKUP(F140,Scores!$A$1:$I$99,3,FALSE)="","",VLOOKUP(F140,Scores!$A$1:$I$99,3,FALSE)),"")</f>
        <v/>
      </c>
      <c r="P140" s="58" t="str">
        <f>IFERROR(IF(VLOOKUP(F140,Scores!$A$1:$I$99,4,FALSE)="","",VLOOKUP(F140,Scores!$A$1:$I$99,4,FALSE)),"")</f>
        <v/>
      </c>
      <c r="Q140" s="58" t="str">
        <f>IFERROR(IF(VLOOKUP(F140,Scores!$A$1:$I$99,5,FALSE)="","",VLOOKUP(F140,Scores!$A$1:$I$99,5,FALSE)),"")</f>
        <v/>
      </c>
      <c r="R140" s="58" t="str">
        <f>IFERROR(IF(VLOOKUP(F140,Scores!$A$1:$I$99,6,FALSE)="","",VLOOKUP(F140,Scores!$A$1:$I$99,6,FALSE)),"")</f>
        <v/>
      </c>
      <c r="S140" s="58" t="str">
        <f>IFERROR(IF(VLOOKUP(F140,Scores!$A$1:$I$99,7,FALSE)="","",VLOOKUP(F140,Scores!$A$1:$I$99,7,FALSE)),"")</f>
        <v/>
      </c>
      <c r="T140" s="58" t="str">
        <f>IFERROR(IF(VLOOKUP(F140,Scores!$A$1:$I$99,8,FALSE)="","",VLOOKUP(F140,Scores!$A$1:$I$99,8,FALSE)),"")</f>
        <v/>
      </c>
      <c r="U140" s="60" t="str">
        <f>IFERROR(IF(VLOOKUP(F140,Scores!$A$1:$I$99,9,FALSE)="","",VLOOKUP(F140,Scores!$A$1:$I$99,9,FALSE)),"")</f>
        <v/>
      </c>
      <c r="V140" s="54" t="str">
        <f t="shared" si="43"/>
        <v/>
      </c>
      <c r="W140" s="55" t="str">
        <f t="shared" si="44"/>
        <v/>
      </c>
      <c r="X140" s="55" t="str">
        <f t="shared" si="45"/>
        <v/>
      </c>
      <c r="Y140" s="55" t="str">
        <f t="shared" si="46"/>
        <v/>
      </c>
      <c r="Z140" s="55" t="str">
        <f t="shared" si="47"/>
        <v/>
      </c>
      <c r="AA140" s="55" t="str">
        <f t="shared" si="48"/>
        <v/>
      </c>
      <c r="AB140" s="55" t="str">
        <f t="shared" si="49"/>
        <v/>
      </c>
      <c r="AC140" s="56" t="str">
        <f t="shared" si="50"/>
        <v/>
      </c>
      <c r="AD140" s="79" t="str">
        <f t="shared" si="51"/>
        <v/>
      </c>
      <c r="AE140" s="59" t="str">
        <f t="shared" si="52"/>
        <v/>
      </c>
      <c r="AF140" s="55" t="str" cm="1">
        <f t="array" ref="AF140">IFERROR(IF(AD140&gt;Lookups!$I$5-1,AVERAGE(LARGE(V140:AC140,_xlfn.SEQUENCE(Lookups!$I$5))),AVERAGE(LARGE(V140:AC140,_xlfn.SEQUENCE(AD140)))),"")</f>
        <v/>
      </c>
      <c r="AG140" s="124" t="str">
        <f t="shared" si="53"/>
        <v/>
      </c>
      <c r="AH140" s="78" t="str">
        <f>IF(AD140=Lookups!$I$5+1,LARGE(V140:AC140,5),"")</f>
        <v/>
      </c>
      <c r="AI140" s="78" t="str">
        <f>IF(AD140=Lookups!$I$5+2,LARGE(V140:AC140,6),"")</f>
        <v/>
      </c>
      <c r="AJ140" s="78"/>
      <c r="AK140" s="78"/>
      <c r="AL140" s="141"/>
      <c r="AM140" s="78"/>
      <c r="AN140" s="78"/>
      <c r="AO140" s="78"/>
      <c r="AP140" s="78"/>
      <c r="AQ140" s="78"/>
    </row>
    <row r="141" spans="1:43" ht="16.5" customHeight="1" thickBot="1" x14ac:dyDescent="0.35">
      <c r="A141" t="str">
        <f>IF(AD141="","",COUNTIFS($H$6:$H$120,H141,$AF$6:$AF$120,"&gt;"&amp;AF141)+COUNTIFS(H$120:$H141,H141,AF$120:$AF141,AF141))</f>
        <v/>
      </c>
      <c r="B141" t="str">
        <f>IF(AD141=0,"",IF(COUNTIFS($AE$6:$AE$177,"&gt;"&amp;AE141)+COUNTIFS(AE$6:AE141,"="&amp;AE141)=0,"",COUNTIFS($AE$6:$AE$177,"&gt;"&amp;AE141)+COUNTIFS(AE$6:AE141,"="&amp;AE141)))</f>
        <v/>
      </c>
      <c r="D141" t="str">
        <f>IF(AG141=0,"",IF(COUNTIFS($AG$6:$AG$177,"&gt;"&amp;AG141)+COUNTIFS(AG$6:AG141,"="&amp;AG141)=0,"",COUNTIFS($AG$6:$AG$177,"&gt;"&amp;AG141)+COUNTIFS(AG$6:AG141,"="&amp;AG141)))</f>
        <v/>
      </c>
      <c r="F141" s="21"/>
      <c r="G141" s="52" t="str">
        <f>IFERROR(IF(VLOOKUP(F141,Lookups!$A$2:$F$111,2,FALSE)="","",VLOOKUP(F141,Lookups!$A$2:$F$111,2,FALSE)),"")</f>
        <v/>
      </c>
      <c r="H141" s="52" t="str">
        <f>IFERROR(IF(VLOOKUP(F141,Lookups!$A$2:$F$111,3,FALSE)="","",VLOOKUP(F141,Lookups!$A$2:$F$111,3,FALSE)),"")</f>
        <v/>
      </c>
      <c r="I141" s="52" t="str">
        <f>IFERROR(IF(AF141=0,"",VLOOKUP(AF141,Lookups!$K$2:$L$6,2,TRUE)),"")</f>
        <v/>
      </c>
      <c r="J141" s="52" t="str">
        <f>IF(AD141&lt;Lookups!$I$5,"Y","N")</f>
        <v>N</v>
      </c>
      <c r="K141" s="52" t="str">
        <f>IFERROR(IF(VLOOKUP(F141,Lookups!$A$2:$F$111,4,FALSE)="","",VLOOKUP(F141,Lookups!$A$2:$F$111,4,FALSE)),"")</f>
        <v/>
      </c>
      <c r="L141" s="52" t="str">
        <f>IFERROR(IF(VLOOKUP(F141,Lookups!$A$2:$F$111,5,FALSE)="","",VLOOKUP(F141,Lookups!$A$2:$F$111,5,FALSE)),"")</f>
        <v/>
      </c>
      <c r="M141" s="53" t="str">
        <f>IFERROR(IF(VLOOKUP(F141,Lookups!$A$2:$F$111,6,FALSE)="","",VLOOKUP(F141,Lookups!$A$2:$F$111,6,FALSE)),"")</f>
        <v/>
      </c>
      <c r="N141" s="63" t="str">
        <f>IFERROR(IF(VLOOKUP(F141,Scores!$A$1:$I$99,2,FALSE)="","",VLOOKUP(F141,Scores!$A$1:$I$99,2,FALSE)),"")</f>
        <v/>
      </c>
      <c r="O141" s="64" t="str">
        <f>IFERROR(IF(VLOOKUP(F141,Scores!$A$1:$I$99,3,FALSE)="","",VLOOKUP(F141,Scores!$A$1:$I$99,3,FALSE)),"")</f>
        <v/>
      </c>
      <c r="P141" s="64" t="str">
        <f>IFERROR(IF(VLOOKUP(F141,Scores!$A$1:$I$99,4,FALSE)="","",VLOOKUP(F141,Scores!$A$1:$I$99,4,FALSE)),"")</f>
        <v/>
      </c>
      <c r="Q141" s="64" t="str">
        <f>IFERROR(IF(VLOOKUP(F141,Scores!$A$1:$I$99,5,FALSE)="","",VLOOKUP(F141,Scores!$A$1:$I$99,5,FALSE)),"")</f>
        <v/>
      </c>
      <c r="R141" s="64" t="str">
        <f>IFERROR(IF(VLOOKUP(F141,Scores!$A$1:$I$99,6,FALSE)="","",VLOOKUP(F141,Scores!$A$1:$I$99,6,FALSE)),"")</f>
        <v/>
      </c>
      <c r="S141" s="64" t="str">
        <f>IFERROR(IF(VLOOKUP(F141,Scores!$A$1:$I$99,7,FALSE)="","",VLOOKUP(F141,Scores!$A$1:$I$99,7,FALSE)),"")</f>
        <v/>
      </c>
      <c r="T141" s="64" t="str">
        <f>IFERROR(IF(VLOOKUP(F141,Scores!$A$1:$I$99,8,FALSE)="","",VLOOKUP(F141,Scores!$A$1:$I$99,8,FALSE)),"")</f>
        <v/>
      </c>
      <c r="U141" s="68" t="str">
        <f>IFERROR(IF(VLOOKUP(F141,Scores!$A$1:$I$99,9,FALSE)="","",VLOOKUP(F141,Scores!$A$1:$I$99,9,FALSE)),"")</f>
        <v/>
      </c>
      <c r="V141" s="65" t="str">
        <f t="shared" ref="V141" si="65">IFERROR(N141/$N$4,"")</f>
        <v/>
      </c>
      <c r="W141" s="66" t="str">
        <f t="shared" ref="W141" si="66">IFERROR(O141/$O$4,"")</f>
        <v/>
      </c>
      <c r="X141" s="66" t="str">
        <f t="shared" ref="X141" si="67">IFERROR(P141/$P$4,"")</f>
        <v/>
      </c>
      <c r="Y141" s="66" t="str">
        <f t="shared" ref="Y141" si="68">IFERROR(Q141/$Q$4,"")</f>
        <v/>
      </c>
      <c r="Z141" s="66" t="str">
        <f t="shared" ref="Z141" si="69">IFERROR(R141/$R$4,"")</f>
        <v/>
      </c>
      <c r="AA141" s="66" t="str">
        <f t="shared" ref="AA141" si="70">IFERROR(S141/$S$4,"")</f>
        <v/>
      </c>
      <c r="AB141" s="66" t="str">
        <f t="shared" ref="AB141" si="71">IFERROR(T141/$T$4,"")</f>
        <v/>
      </c>
      <c r="AC141" s="67" t="str">
        <f t="shared" ref="AC141" si="72">IFERROR(U141/$U$4,"")</f>
        <v/>
      </c>
      <c r="AD141" s="80" t="str">
        <f t="shared" ref="AD141" si="73">IF(COUNT(N141:U141)=0,"",COUNT(N141:U141))</f>
        <v/>
      </c>
      <c r="AE141" s="66" t="str">
        <f t="shared" ref="AE141" si="74">IFERROR(AVERAGE(V141:AC141),"")</f>
        <v/>
      </c>
      <c r="AF141" s="81" t="str" cm="1">
        <f t="array" ref="AF141">IFERROR(IF(AD141&gt;=Lookups!$I$5,AVERAGE(LARGE(V141:AC141,_xlfn.SEQUENCE(Lookups!$I$5))),AVERAGE(LARGE(V141:AC141,_xlfn.SEQUENCE(AD140)))),"")</f>
        <v/>
      </c>
      <c r="AG141" s="124"/>
      <c r="AH141" s="78" t="str">
        <f>IF(AD141=Lookups!$I$5+1,LARGE(V141:AC141,5),"")</f>
        <v/>
      </c>
      <c r="AI141" s="78" t="str">
        <f>IF(AD141=Lookups!$I$5+2,LARGE(V141:AC141,6),"")</f>
        <v/>
      </c>
      <c r="AJ141" s="78"/>
      <c r="AK141" s="78"/>
      <c r="AL141" s="141"/>
      <c r="AM141" s="78"/>
      <c r="AN141" s="78"/>
      <c r="AO141" s="78"/>
      <c r="AP141" s="78"/>
      <c r="AQ141" s="78"/>
    </row>
    <row r="142" spans="1:43" ht="16.5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09"/>
  <sheetViews>
    <sheetView topLeftCell="A56" workbookViewId="0">
      <selection activeCell="K53" sqref="K53:L54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8" t="s">
        <v>8</v>
      </c>
      <c r="B2" s="9">
        <v>1294</v>
      </c>
      <c r="C2" s="10" t="s">
        <v>9</v>
      </c>
      <c r="D2" s="10" t="s">
        <v>10</v>
      </c>
      <c r="E2" s="10" t="s">
        <v>11</v>
      </c>
      <c r="F2" s="10" t="s">
        <v>11</v>
      </c>
      <c r="I2" s="11">
        <v>6</v>
      </c>
      <c r="K2" s="100">
        <v>0</v>
      </c>
      <c r="L2" s="101" t="s">
        <v>12</v>
      </c>
    </row>
    <row r="3" spans="1:16" x14ac:dyDescent="0.25">
      <c r="A3" s="12" t="s">
        <v>13</v>
      </c>
      <c r="B3" s="11">
        <v>447</v>
      </c>
      <c r="C3" s="13" t="s">
        <v>9</v>
      </c>
      <c r="D3" s="13" t="s">
        <v>10</v>
      </c>
      <c r="E3" s="13" t="s">
        <v>14</v>
      </c>
      <c r="F3" s="13" t="s">
        <v>15</v>
      </c>
      <c r="K3" s="100">
        <v>0.59989999999999999</v>
      </c>
      <c r="L3" s="101" t="s">
        <v>12</v>
      </c>
    </row>
    <row r="4" spans="1:16" ht="15.6" x14ac:dyDescent="0.25">
      <c r="A4" s="14" t="s">
        <v>16</v>
      </c>
      <c r="B4" s="11"/>
      <c r="C4" s="13" t="s">
        <v>9</v>
      </c>
      <c r="D4" s="13" t="s">
        <v>10</v>
      </c>
      <c r="E4" s="13" t="s">
        <v>14</v>
      </c>
      <c r="F4" s="13" t="s">
        <v>15</v>
      </c>
      <c r="I4" s="5" t="s">
        <v>17</v>
      </c>
      <c r="K4" s="100">
        <v>0.6</v>
      </c>
      <c r="L4" s="101" t="s">
        <v>18</v>
      </c>
    </row>
    <row r="5" spans="1:16" x14ac:dyDescent="0.25">
      <c r="A5" s="12" t="s">
        <v>19</v>
      </c>
      <c r="B5" s="11">
        <v>59</v>
      </c>
      <c r="C5" s="13" t="s">
        <v>9</v>
      </c>
      <c r="D5" s="13" t="s">
        <v>10</v>
      </c>
      <c r="E5" s="13" t="s">
        <v>11</v>
      </c>
      <c r="F5" s="13" t="s">
        <v>11</v>
      </c>
      <c r="I5" s="11">
        <v>4</v>
      </c>
      <c r="K5" s="100">
        <v>0.76</v>
      </c>
      <c r="L5" s="101" t="s">
        <v>9</v>
      </c>
    </row>
    <row r="6" spans="1:16" x14ac:dyDescent="0.25">
      <c r="A6" s="12" t="s">
        <v>20</v>
      </c>
      <c r="B6" s="11">
        <v>1881</v>
      </c>
      <c r="C6" s="13" t="s">
        <v>9</v>
      </c>
      <c r="D6" s="13" t="s">
        <v>10</v>
      </c>
      <c r="E6" s="13" t="s">
        <v>21</v>
      </c>
      <c r="F6" s="13" t="s">
        <v>21</v>
      </c>
      <c r="K6" s="100">
        <v>0.87</v>
      </c>
      <c r="L6" s="101" t="s">
        <v>22</v>
      </c>
    </row>
    <row r="7" spans="1:16" x14ac:dyDescent="0.25">
      <c r="A7" s="14" t="s">
        <v>23</v>
      </c>
      <c r="B7" s="11">
        <v>88</v>
      </c>
      <c r="C7" s="13" t="s">
        <v>9</v>
      </c>
      <c r="D7" s="13" t="s">
        <v>10</v>
      </c>
      <c r="E7" s="13" t="s">
        <v>24</v>
      </c>
      <c r="F7" s="13" t="s">
        <v>24</v>
      </c>
    </row>
    <row r="8" spans="1:16" x14ac:dyDescent="0.25">
      <c r="A8" s="12" t="s">
        <v>25</v>
      </c>
      <c r="B8" s="11">
        <v>1748</v>
      </c>
      <c r="C8" s="13" t="s">
        <v>22</v>
      </c>
      <c r="D8" s="13" t="s">
        <v>10</v>
      </c>
      <c r="E8" s="13" t="s">
        <v>26</v>
      </c>
      <c r="F8" s="13" t="s">
        <v>125</v>
      </c>
    </row>
    <row r="9" spans="1:16" x14ac:dyDescent="0.25">
      <c r="A9" s="12" t="s">
        <v>27</v>
      </c>
      <c r="B9" s="11">
        <v>968</v>
      </c>
      <c r="C9" s="13" t="s">
        <v>22</v>
      </c>
      <c r="D9" s="13" t="s">
        <v>10</v>
      </c>
      <c r="E9" s="13" t="s">
        <v>14</v>
      </c>
      <c r="F9" s="13" t="s">
        <v>15</v>
      </c>
    </row>
    <row r="10" spans="1:16" ht="15.6" x14ac:dyDescent="0.25">
      <c r="A10" s="12" t="s">
        <v>28</v>
      </c>
      <c r="B10" s="11">
        <v>1616</v>
      </c>
      <c r="C10" s="13" t="s">
        <v>22</v>
      </c>
      <c r="D10" s="13" t="s">
        <v>10</v>
      </c>
      <c r="E10" s="13" t="s">
        <v>26</v>
      </c>
      <c r="F10" s="13" t="s">
        <v>126</v>
      </c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2" t="s">
        <v>32</v>
      </c>
      <c r="B11" s="11">
        <v>834</v>
      </c>
      <c r="C11" s="13" t="s">
        <v>22</v>
      </c>
      <c r="D11" s="13" t="s">
        <v>10</v>
      </c>
      <c r="E11" s="13" t="s">
        <v>14</v>
      </c>
      <c r="F11" s="13" t="s">
        <v>15</v>
      </c>
      <c r="I11" s="101" t="s">
        <v>22</v>
      </c>
      <c r="K11" s="101" t="s">
        <v>22</v>
      </c>
      <c r="L11" s="102">
        <v>0</v>
      </c>
      <c r="N11" s="11" t="s">
        <v>33</v>
      </c>
      <c r="P11" s="11" t="s">
        <v>24</v>
      </c>
    </row>
    <row r="12" spans="1:16" x14ac:dyDescent="0.25">
      <c r="A12" s="12" t="s">
        <v>34</v>
      </c>
      <c r="B12" s="11">
        <v>1065</v>
      </c>
      <c r="C12" s="13" t="s">
        <v>22</v>
      </c>
      <c r="D12" s="13" t="s">
        <v>10</v>
      </c>
      <c r="E12" s="13" t="s">
        <v>21</v>
      </c>
      <c r="F12" s="13" t="s">
        <v>21</v>
      </c>
      <c r="I12" s="101" t="s">
        <v>9</v>
      </c>
      <c r="K12" s="101" t="s">
        <v>9</v>
      </c>
      <c r="L12" s="102">
        <v>1</v>
      </c>
      <c r="N12" s="11" t="s">
        <v>24</v>
      </c>
      <c r="P12" s="11" t="s">
        <v>21</v>
      </c>
    </row>
    <row r="13" spans="1:16" x14ac:dyDescent="0.25">
      <c r="A13" s="12" t="s">
        <v>35</v>
      </c>
      <c r="B13" s="11">
        <v>1691</v>
      </c>
      <c r="C13" s="13" t="s">
        <v>22</v>
      </c>
      <c r="D13" s="13" t="s">
        <v>10</v>
      </c>
      <c r="E13" s="13" t="s">
        <v>11</v>
      </c>
      <c r="F13" s="13" t="s">
        <v>11</v>
      </c>
      <c r="I13" s="101" t="s">
        <v>18</v>
      </c>
      <c r="K13" s="101" t="s">
        <v>18</v>
      </c>
      <c r="L13" s="102">
        <v>3</v>
      </c>
      <c r="N13" s="11" t="s">
        <v>26</v>
      </c>
      <c r="P13" s="11" t="s">
        <v>11</v>
      </c>
    </row>
    <row r="14" spans="1:16" x14ac:dyDescent="0.25">
      <c r="A14" s="12" t="s">
        <v>36</v>
      </c>
      <c r="B14" s="11">
        <v>94</v>
      </c>
      <c r="C14" s="13" t="s">
        <v>22</v>
      </c>
      <c r="D14" s="13" t="s">
        <v>10</v>
      </c>
      <c r="E14" s="13" t="s">
        <v>26</v>
      </c>
      <c r="F14" s="13" t="s">
        <v>125</v>
      </c>
      <c r="I14" s="101" t="s">
        <v>12</v>
      </c>
      <c r="K14" s="101" t="s">
        <v>12</v>
      </c>
      <c r="L14" s="102">
        <v>4</v>
      </c>
      <c r="N14" s="11" t="s">
        <v>11</v>
      </c>
      <c r="P14" s="11" t="s">
        <v>15</v>
      </c>
    </row>
    <row r="15" spans="1:16" x14ac:dyDescent="0.25">
      <c r="A15" s="12" t="s">
        <v>37</v>
      </c>
      <c r="B15" s="11">
        <v>880</v>
      </c>
      <c r="C15" s="13" t="s">
        <v>22</v>
      </c>
      <c r="D15" s="13" t="s">
        <v>10</v>
      </c>
      <c r="E15" s="13" t="s">
        <v>24</v>
      </c>
      <c r="F15" s="13" t="s">
        <v>24</v>
      </c>
      <c r="I15" s="101" t="s">
        <v>39</v>
      </c>
      <c r="K15" s="101" t="s">
        <v>40</v>
      </c>
      <c r="L15" s="102">
        <v>-7</v>
      </c>
      <c r="N15" s="11" t="s">
        <v>21</v>
      </c>
      <c r="P15" s="11" t="s">
        <v>41</v>
      </c>
    </row>
    <row r="16" spans="1:16" x14ac:dyDescent="0.25">
      <c r="A16" s="12" t="s">
        <v>42</v>
      </c>
      <c r="B16" s="11">
        <v>1688</v>
      </c>
      <c r="C16" s="13" t="s">
        <v>22</v>
      </c>
      <c r="D16" s="13" t="s">
        <v>10</v>
      </c>
      <c r="E16" s="13" t="s">
        <v>11</v>
      </c>
      <c r="F16" s="13" t="s">
        <v>11</v>
      </c>
      <c r="I16" s="101" t="s">
        <v>40</v>
      </c>
      <c r="K16" s="101" t="s">
        <v>39</v>
      </c>
      <c r="L16" s="102">
        <v>0</v>
      </c>
      <c r="N16" s="11" t="s">
        <v>41</v>
      </c>
      <c r="P16" s="11" t="s">
        <v>125</v>
      </c>
    </row>
    <row r="17" spans="1:16" x14ac:dyDescent="0.25">
      <c r="A17" s="15" t="s">
        <v>43</v>
      </c>
      <c r="B17" s="16">
        <v>1905</v>
      </c>
      <c r="C17" s="13" t="s">
        <v>18</v>
      </c>
      <c r="D17" s="13" t="s">
        <v>10</v>
      </c>
      <c r="E17" s="13" t="s">
        <v>21</v>
      </c>
      <c r="F17" s="13" t="s">
        <v>21</v>
      </c>
      <c r="I17" s="101" t="s">
        <v>44</v>
      </c>
      <c r="N17" s="11" t="s">
        <v>14</v>
      </c>
      <c r="P17" s="11" t="s">
        <v>126</v>
      </c>
    </row>
    <row r="18" spans="1:16" x14ac:dyDescent="0.25">
      <c r="A18" s="12" t="s">
        <v>45</v>
      </c>
      <c r="B18" s="11">
        <v>402</v>
      </c>
      <c r="C18" s="13" t="s">
        <v>18</v>
      </c>
      <c r="D18" s="13" t="s">
        <v>10</v>
      </c>
      <c r="E18" s="13" t="s">
        <v>41</v>
      </c>
      <c r="F18" s="13" t="s">
        <v>41</v>
      </c>
      <c r="N18" s="11" t="s">
        <v>46</v>
      </c>
      <c r="P18" s="11"/>
    </row>
    <row r="19" spans="1:16" x14ac:dyDescent="0.25">
      <c r="A19" s="12" t="s">
        <v>47</v>
      </c>
      <c r="B19" s="11">
        <v>93</v>
      </c>
      <c r="C19" s="13" t="s">
        <v>18</v>
      </c>
      <c r="D19" s="13" t="s">
        <v>10</v>
      </c>
      <c r="E19" s="13" t="s">
        <v>26</v>
      </c>
      <c r="F19" s="13" t="s">
        <v>126</v>
      </c>
      <c r="N19" s="11"/>
      <c r="P19" s="11"/>
    </row>
    <row r="20" spans="1:16" x14ac:dyDescent="0.25">
      <c r="A20" s="14" t="s">
        <v>48</v>
      </c>
      <c r="B20" s="11">
        <v>60627</v>
      </c>
      <c r="C20" s="13" t="s">
        <v>39</v>
      </c>
      <c r="D20" s="13" t="s">
        <v>10</v>
      </c>
      <c r="E20" s="13" t="s">
        <v>11</v>
      </c>
      <c r="F20" s="13"/>
      <c r="N20" s="11"/>
      <c r="P20" s="11"/>
    </row>
    <row r="21" spans="1:16" ht="15.6" x14ac:dyDescent="0.25">
      <c r="A21" s="14" t="s">
        <v>174</v>
      </c>
      <c r="B21" s="11">
        <v>1914</v>
      </c>
      <c r="C21" s="13" t="s">
        <v>18</v>
      </c>
      <c r="D21" s="13" t="s">
        <v>10</v>
      </c>
      <c r="E21" s="13" t="s">
        <v>26</v>
      </c>
      <c r="F21" s="13" t="s">
        <v>125</v>
      </c>
      <c r="I21" s="5" t="s">
        <v>3</v>
      </c>
      <c r="N21" s="11" t="s">
        <v>44</v>
      </c>
      <c r="P21" s="11"/>
    </row>
    <row r="22" spans="1:16" x14ac:dyDescent="0.25">
      <c r="A22" s="12" t="s">
        <v>49</v>
      </c>
      <c r="B22" s="11">
        <v>1884</v>
      </c>
      <c r="C22" s="13" t="s">
        <v>18</v>
      </c>
      <c r="D22" s="13" t="s">
        <v>10</v>
      </c>
      <c r="E22" s="13" t="s">
        <v>24</v>
      </c>
      <c r="F22" s="13" t="s">
        <v>24</v>
      </c>
      <c r="I22" s="101" t="s">
        <v>10</v>
      </c>
      <c r="P22" s="11"/>
    </row>
    <row r="23" spans="1:16" x14ac:dyDescent="0.25">
      <c r="A23" s="12" t="s">
        <v>50</v>
      </c>
      <c r="B23" s="11">
        <v>1301</v>
      </c>
      <c r="C23" s="13" t="s">
        <v>18</v>
      </c>
      <c r="D23" s="13" t="s">
        <v>10</v>
      </c>
      <c r="E23" s="13" t="s">
        <v>24</v>
      </c>
      <c r="F23" s="13" t="s">
        <v>24</v>
      </c>
      <c r="I23" s="101" t="s">
        <v>38</v>
      </c>
      <c r="P23" s="11"/>
    </row>
    <row r="24" spans="1:16" x14ac:dyDescent="0.25">
      <c r="A24" s="14" t="s">
        <v>51</v>
      </c>
      <c r="B24" s="11"/>
      <c r="C24" s="13" t="s">
        <v>18</v>
      </c>
      <c r="D24" s="13" t="s">
        <v>38</v>
      </c>
      <c r="E24" s="13" t="s">
        <v>14</v>
      </c>
      <c r="F24" s="13" t="s">
        <v>15</v>
      </c>
      <c r="I24" s="101" t="s">
        <v>52</v>
      </c>
      <c r="P24" s="11"/>
    </row>
    <row r="25" spans="1:16" x14ac:dyDescent="0.25">
      <c r="A25" s="12" t="s">
        <v>53</v>
      </c>
      <c r="B25" s="11">
        <v>449</v>
      </c>
      <c r="C25" s="13" t="s">
        <v>18</v>
      </c>
      <c r="D25" s="13" t="s">
        <v>10</v>
      </c>
      <c r="E25" s="13" t="s">
        <v>41</v>
      </c>
      <c r="F25" s="13" t="s">
        <v>41</v>
      </c>
      <c r="I25" s="101" t="s">
        <v>54</v>
      </c>
    </row>
    <row r="26" spans="1:16" x14ac:dyDescent="0.25">
      <c r="A26" s="12" t="s">
        <v>55</v>
      </c>
      <c r="B26" s="11">
        <v>1877</v>
      </c>
      <c r="C26" s="13" t="s">
        <v>18</v>
      </c>
      <c r="D26" s="13" t="s">
        <v>10</v>
      </c>
      <c r="E26" s="13" t="s">
        <v>41</v>
      </c>
      <c r="F26" s="13" t="s">
        <v>41</v>
      </c>
    </row>
    <row r="27" spans="1:16" x14ac:dyDescent="0.25">
      <c r="A27" s="12" t="s">
        <v>56</v>
      </c>
      <c r="B27" s="11">
        <v>1885</v>
      </c>
      <c r="C27" s="13" t="s">
        <v>18</v>
      </c>
      <c r="D27" s="13" t="s">
        <v>10</v>
      </c>
      <c r="E27" s="13" t="s">
        <v>24</v>
      </c>
      <c r="F27" s="13" t="s">
        <v>24</v>
      </c>
    </row>
    <row r="28" spans="1:16" x14ac:dyDescent="0.25">
      <c r="A28" s="12" t="s">
        <v>57</v>
      </c>
      <c r="B28" s="11">
        <v>1346</v>
      </c>
      <c r="C28" s="13" t="s">
        <v>18</v>
      </c>
      <c r="D28" s="13" t="s">
        <v>10</v>
      </c>
      <c r="E28" s="13" t="s">
        <v>41</v>
      </c>
      <c r="F28" s="13"/>
    </row>
    <row r="29" spans="1:16" x14ac:dyDescent="0.25">
      <c r="A29" s="12" t="s">
        <v>58</v>
      </c>
      <c r="B29" s="11">
        <v>1888</v>
      </c>
      <c r="C29" s="13" t="s">
        <v>18</v>
      </c>
      <c r="D29" s="13" t="s">
        <v>10</v>
      </c>
      <c r="E29" s="13" t="s">
        <v>11</v>
      </c>
      <c r="F29" s="13" t="s">
        <v>11</v>
      </c>
    </row>
    <row r="30" spans="1:16" x14ac:dyDescent="0.25">
      <c r="A30" s="14" t="s">
        <v>59</v>
      </c>
      <c r="B30" s="11">
        <v>1918</v>
      </c>
      <c r="C30" s="13" t="s">
        <v>18</v>
      </c>
      <c r="D30" s="13" t="s">
        <v>10</v>
      </c>
      <c r="E30" s="13" t="s">
        <v>26</v>
      </c>
      <c r="F30" s="13" t="s">
        <v>125</v>
      </c>
    </row>
    <row r="31" spans="1:16" x14ac:dyDescent="0.25">
      <c r="A31" s="12" t="s">
        <v>60</v>
      </c>
      <c r="B31" s="11">
        <v>1431</v>
      </c>
      <c r="C31" s="13" t="s">
        <v>12</v>
      </c>
      <c r="D31" s="13" t="s">
        <v>10</v>
      </c>
      <c r="E31" s="13" t="s">
        <v>24</v>
      </c>
      <c r="F31" s="13" t="s">
        <v>24</v>
      </c>
    </row>
    <row r="32" spans="1:16" x14ac:dyDescent="0.25">
      <c r="A32" s="12" t="s">
        <v>61</v>
      </c>
      <c r="B32" s="11">
        <v>1904</v>
      </c>
      <c r="C32" s="13" t="s">
        <v>12</v>
      </c>
      <c r="D32" s="13" t="s">
        <v>10</v>
      </c>
      <c r="E32" s="13" t="s">
        <v>21</v>
      </c>
      <c r="F32" s="13" t="s">
        <v>21</v>
      </c>
    </row>
    <row r="33" spans="1:6" x14ac:dyDescent="0.25">
      <c r="A33" s="12" t="s">
        <v>62</v>
      </c>
      <c r="B33" s="11">
        <v>1513</v>
      </c>
      <c r="C33" s="13" t="s">
        <v>12</v>
      </c>
      <c r="D33" s="13" t="s">
        <v>38</v>
      </c>
      <c r="E33" s="13" t="s">
        <v>41</v>
      </c>
      <c r="F33" s="13" t="s">
        <v>41</v>
      </c>
    </row>
    <row r="34" spans="1:6" x14ac:dyDescent="0.25">
      <c r="A34" s="14" t="s">
        <v>63</v>
      </c>
      <c r="B34" s="11">
        <v>1917</v>
      </c>
      <c r="C34" s="13" t="s">
        <v>12</v>
      </c>
      <c r="D34" s="13" t="s">
        <v>10</v>
      </c>
      <c r="E34" s="13" t="s">
        <v>26</v>
      </c>
      <c r="F34" s="13" t="s">
        <v>126</v>
      </c>
    </row>
    <row r="35" spans="1:6" x14ac:dyDescent="0.25">
      <c r="A35" s="15" t="s">
        <v>64</v>
      </c>
      <c r="B35" s="16">
        <v>1902</v>
      </c>
      <c r="C35" s="13" t="s">
        <v>39</v>
      </c>
      <c r="D35" s="13" t="s">
        <v>10</v>
      </c>
      <c r="E35" s="13" t="s">
        <v>41</v>
      </c>
      <c r="F35" s="13"/>
    </row>
    <row r="36" spans="1:6" x14ac:dyDescent="0.25">
      <c r="A36" s="12" t="s">
        <v>65</v>
      </c>
      <c r="B36" s="11">
        <v>1886</v>
      </c>
      <c r="C36" s="13" t="s">
        <v>12</v>
      </c>
      <c r="D36" s="13" t="s">
        <v>10</v>
      </c>
      <c r="E36" s="13" t="s">
        <v>21</v>
      </c>
      <c r="F36" s="13" t="s">
        <v>21</v>
      </c>
    </row>
    <row r="37" spans="1:6" x14ac:dyDescent="0.25">
      <c r="A37" s="12" t="s">
        <v>66</v>
      </c>
      <c r="B37" s="11">
        <v>1654</v>
      </c>
      <c r="C37" s="13" t="s">
        <v>12</v>
      </c>
      <c r="D37" s="13" t="s">
        <v>10</v>
      </c>
      <c r="E37" s="13" t="s">
        <v>41</v>
      </c>
      <c r="F37" s="13" t="s">
        <v>41</v>
      </c>
    </row>
    <row r="38" spans="1:6" x14ac:dyDescent="0.25">
      <c r="A38" s="15" t="s">
        <v>67</v>
      </c>
      <c r="B38" s="16">
        <v>1883</v>
      </c>
      <c r="C38" s="13" t="s">
        <v>12</v>
      </c>
      <c r="D38" s="13" t="s">
        <v>10</v>
      </c>
      <c r="E38" s="13" t="s">
        <v>26</v>
      </c>
      <c r="F38" s="13" t="s">
        <v>125</v>
      </c>
    </row>
    <row r="39" spans="1:6" x14ac:dyDescent="0.25">
      <c r="A39" s="14" t="s">
        <v>68</v>
      </c>
      <c r="B39" s="11">
        <v>1916</v>
      </c>
      <c r="C39" s="13" t="s">
        <v>9</v>
      </c>
      <c r="D39" s="13" t="s">
        <v>10</v>
      </c>
      <c r="E39" s="13" t="s">
        <v>26</v>
      </c>
      <c r="F39" s="13" t="s">
        <v>126</v>
      </c>
    </row>
    <row r="40" spans="1:6" x14ac:dyDescent="0.25">
      <c r="A40" s="12" t="s">
        <v>106</v>
      </c>
      <c r="B40" s="11">
        <v>60</v>
      </c>
      <c r="C40" s="13" t="s">
        <v>39</v>
      </c>
      <c r="D40" s="13" t="s">
        <v>10</v>
      </c>
      <c r="E40" s="13" t="s">
        <v>11</v>
      </c>
      <c r="F40" s="13"/>
    </row>
    <row r="41" spans="1:6" x14ac:dyDescent="0.25">
      <c r="A41" s="14" t="s">
        <v>69</v>
      </c>
      <c r="B41" s="11">
        <v>1919</v>
      </c>
      <c r="C41" s="13" t="s">
        <v>39</v>
      </c>
      <c r="D41" s="13" t="s">
        <v>10</v>
      </c>
      <c r="E41" s="13" t="s">
        <v>26</v>
      </c>
      <c r="F41" s="13" t="s">
        <v>126</v>
      </c>
    </row>
    <row r="42" spans="1:6" x14ac:dyDescent="0.25">
      <c r="A42" s="15" t="s">
        <v>70</v>
      </c>
      <c r="B42" s="16">
        <v>1889</v>
      </c>
      <c r="C42" s="13" t="s">
        <v>39</v>
      </c>
      <c r="D42" s="13" t="s">
        <v>10</v>
      </c>
      <c r="E42" s="13" t="s">
        <v>33</v>
      </c>
      <c r="F42" s="13"/>
    </row>
    <row r="43" spans="1:6" x14ac:dyDescent="0.25">
      <c r="A43" s="14" t="s">
        <v>71</v>
      </c>
      <c r="B43" s="11"/>
      <c r="C43" s="13" t="s">
        <v>39</v>
      </c>
      <c r="D43" s="13" t="s">
        <v>10</v>
      </c>
      <c r="E43" s="13" t="s">
        <v>24</v>
      </c>
      <c r="F43" s="13"/>
    </row>
    <row r="44" spans="1:6" x14ac:dyDescent="0.25">
      <c r="A44" s="14" t="s">
        <v>72</v>
      </c>
      <c r="B44" s="11"/>
      <c r="C44" s="13" t="s">
        <v>39</v>
      </c>
      <c r="D44" s="13" t="s">
        <v>10</v>
      </c>
      <c r="E44" s="13" t="s">
        <v>24</v>
      </c>
      <c r="F44" s="13"/>
    </row>
    <row r="45" spans="1:6" x14ac:dyDescent="0.25">
      <c r="A45" s="14" t="s">
        <v>175</v>
      </c>
      <c r="B45" s="11">
        <v>1915</v>
      </c>
      <c r="C45" s="13" t="s">
        <v>39</v>
      </c>
      <c r="D45" s="13" t="s">
        <v>10</v>
      </c>
      <c r="E45" s="13" t="s">
        <v>26</v>
      </c>
      <c r="F45" s="13" t="s">
        <v>126</v>
      </c>
    </row>
    <row r="46" spans="1:6" x14ac:dyDescent="0.25">
      <c r="A46" s="15" t="s">
        <v>73</v>
      </c>
      <c r="B46" s="16">
        <v>1901</v>
      </c>
      <c r="C46" s="13" t="s">
        <v>39</v>
      </c>
      <c r="D46" s="13" t="s">
        <v>10</v>
      </c>
      <c r="E46" s="13" t="s">
        <v>33</v>
      </c>
      <c r="F46" s="13"/>
    </row>
    <row r="47" spans="1:6" x14ac:dyDescent="0.25">
      <c r="A47" s="15" t="s">
        <v>74</v>
      </c>
      <c r="B47" s="16">
        <v>1906</v>
      </c>
      <c r="C47" s="13" t="s">
        <v>39</v>
      </c>
      <c r="D47" s="13" t="s">
        <v>10</v>
      </c>
      <c r="E47" s="13" t="s">
        <v>14</v>
      </c>
      <c r="F47" s="13" t="s">
        <v>15</v>
      </c>
    </row>
    <row r="48" spans="1:6" x14ac:dyDescent="0.25">
      <c r="A48" s="14" t="s">
        <v>75</v>
      </c>
      <c r="B48" s="11"/>
      <c r="C48" s="13" t="s">
        <v>39</v>
      </c>
      <c r="D48" s="13" t="s">
        <v>10</v>
      </c>
      <c r="E48" s="13" t="s">
        <v>14</v>
      </c>
      <c r="F48" s="13"/>
    </row>
    <row r="49" spans="1:6" x14ac:dyDescent="0.25">
      <c r="A49" s="14" t="s">
        <v>76</v>
      </c>
      <c r="B49" s="11"/>
      <c r="C49" s="13" t="s">
        <v>39</v>
      </c>
      <c r="D49" s="13" t="s">
        <v>10</v>
      </c>
      <c r="E49" s="13" t="s">
        <v>24</v>
      </c>
      <c r="F49" s="13"/>
    </row>
    <row r="50" spans="1:6" x14ac:dyDescent="0.25">
      <c r="A50" s="14" t="s">
        <v>77</v>
      </c>
      <c r="B50" s="11"/>
      <c r="C50" s="13" t="s">
        <v>39</v>
      </c>
      <c r="D50" s="13" t="s">
        <v>10</v>
      </c>
      <c r="E50" s="13" t="s">
        <v>24</v>
      </c>
      <c r="F50" s="13"/>
    </row>
    <row r="51" spans="1:6" x14ac:dyDescent="0.25">
      <c r="A51" s="14" t="s">
        <v>78</v>
      </c>
      <c r="B51" s="11"/>
      <c r="C51" s="13" t="s">
        <v>39</v>
      </c>
      <c r="D51" s="13" t="s">
        <v>10</v>
      </c>
      <c r="E51" s="13"/>
      <c r="F51" s="13"/>
    </row>
    <row r="52" spans="1:6" x14ac:dyDescent="0.25">
      <c r="A52" s="14" t="s">
        <v>172</v>
      </c>
      <c r="B52" s="11"/>
      <c r="C52" s="13" t="s">
        <v>39</v>
      </c>
      <c r="D52" s="13" t="s">
        <v>10</v>
      </c>
      <c r="E52" s="13" t="s">
        <v>14</v>
      </c>
      <c r="F52" s="13" t="s">
        <v>15</v>
      </c>
    </row>
    <row r="53" spans="1:6" x14ac:dyDescent="0.25">
      <c r="A53" s="14" t="s">
        <v>64</v>
      </c>
      <c r="B53" s="11"/>
      <c r="C53" s="13" t="s">
        <v>39</v>
      </c>
      <c r="D53" s="13" t="s">
        <v>10</v>
      </c>
      <c r="E53" s="13"/>
      <c r="F53" s="13"/>
    </row>
    <row r="54" spans="1:6" x14ac:dyDescent="0.25">
      <c r="A54" s="12" t="s">
        <v>109</v>
      </c>
      <c r="B54" s="11">
        <v>1515</v>
      </c>
      <c r="C54" s="13" t="s">
        <v>40</v>
      </c>
      <c r="D54" s="13" t="s">
        <v>52</v>
      </c>
      <c r="E54" s="13" t="s">
        <v>26</v>
      </c>
      <c r="F54" s="13" t="s">
        <v>125</v>
      </c>
    </row>
    <row r="55" spans="1:6" x14ac:dyDescent="0.25">
      <c r="A55" s="12" t="s">
        <v>110</v>
      </c>
      <c r="B55" s="11">
        <v>1867</v>
      </c>
      <c r="C55" s="13" t="s">
        <v>40</v>
      </c>
      <c r="D55" s="13" t="s">
        <v>52</v>
      </c>
      <c r="E55" s="13" t="s">
        <v>11</v>
      </c>
      <c r="F55" s="13"/>
    </row>
    <row r="56" spans="1:6" x14ac:dyDescent="0.25">
      <c r="A56" s="12" t="s">
        <v>111</v>
      </c>
      <c r="B56" s="11">
        <v>448</v>
      </c>
      <c r="C56" s="13" t="s">
        <v>40</v>
      </c>
      <c r="D56" s="13" t="s">
        <v>52</v>
      </c>
      <c r="E56" s="13" t="s">
        <v>41</v>
      </c>
      <c r="F56" s="13" t="s">
        <v>41</v>
      </c>
    </row>
    <row r="57" spans="1:6" x14ac:dyDescent="0.25">
      <c r="A57" s="12" t="s">
        <v>112</v>
      </c>
      <c r="B57" s="11">
        <v>1559</v>
      </c>
      <c r="C57" s="13" t="s">
        <v>40</v>
      </c>
      <c r="D57" s="13" t="s">
        <v>52</v>
      </c>
      <c r="E57" s="13" t="s">
        <v>41</v>
      </c>
      <c r="F57" s="13" t="s">
        <v>41</v>
      </c>
    </row>
    <row r="58" spans="1:6" x14ac:dyDescent="0.25">
      <c r="A58" s="12" t="s">
        <v>113</v>
      </c>
      <c r="B58" s="11">
        <v>106</v>
      </c>
      <c r="C58" s="13" t="s">
        <v>40</v>
      </c>
      <c r="D58" s="13" t="s">
        <v>52</v>
      </c>
      <c r="E58" s="13" t="s">
        <v>26</v>
      </c>
      <c r="F58" s="13"/>
    </row>
    <row r="59" spans="1:6" x14ac:dyDescent="0.25">
      <c r="A59" s="12" t="s">
        <v>114</v>
      </c>
      <c r="B59" s="11">
        <v>1816</v>
      </c>
      <c r="C59" s="13" t="s">
        <v>40</v>
      </c>
      <c r="D59" s="13" t="s">
        <v>52</v>
      </c>
      <c r="E59" s="13" t="s">
        <v>11</v>
      </c>
      <c r="F59" s="13" t="s">
        <v>11</v>
      </c>
    </row>
    <row r="60" spans="1:6" x14ac:dyDescent="0.25">
      <c r="A60" s="14" t="s">
        <v>115</v>
      </c>
      <c r="B60" s="11">
        <v>1907</v>
      </c>
      <c r="C60" s="13" t="s">
        <v>40</v>
      </c>
      <c r="D60" s="13" t="s">
        <v>52</v>
      </c>
      <c r="E60" s="13" t="s">
        <v>26</v>
      </c>
      <c r="F60" s="13"/>
    </row>
    <row r="61" spans="1:6" x14ac:dyDescent="0.25">
      <c r="A61" s="17" t="s">
        <v>79</v>
      </c>
      <c r="B61" s="18">
        <v>611</v>
      </c>
      <c r="C61" s="13" t="s">
        <v>9</v>
      </c>
      <c r="D61" s="13" t="s">
        <v>10</v>
      </c>
      <c r="E61" s="13" t="s">
        <v>33</v>
      </c>
      <c r="F61" s="13"/>
    </row>
    <row r="62" spans="1:6" x14ac:dyDescent="0.25">
      <c r="A62" s="19" t="s">
        <v>80</v>
      </c>
      <c r="B62" s="20">
        <v>1286</v>
      </c>
      <c r="C62" s="13" t="s">
        <v>9</v>
      </c>
      <c r="D62" s="13" t="s">
        <v>10</v>
      </c>
      <c r="E62" s="13" t="s">
        <v>21</v>
      </c>
      <c r="F62" s="13"/>
    </row>
    <row r="63" spans="1:6" x14ac:dyDescent="0.25">
      <c r="A63" s="19" t="s">
        <v>81</v>
      </c>
      <c r="B63" s="20">
        <v>1544</v>
      </c>
      <c r="C63" s="13" t="s">
        <v>22</v>
      </c>
      <c r="D63" s="13" t="s">
        <v>10</v>
      </c>
      <c r="E63" s="13" t="s">
        <v>24</v>
      </c>
      <c r="F63" s="13"/>
    </row>
    <row r="64" spans="1:6" x14ac:dyDescent="0.25">
      <c r="A64" s="17" t="s">
        <v>82</v>
      </c>
      <c r="B64" s="18">
        <v>1302</v>
      </c>
      <c r="C64" s="13" t="s">
        <v>9</v>
      </c>
      <c r="D64" s="13" t="s">
        <v>10</v>
      </c>
      <c r="E64" s="13" t="s">
        <v>14</v>
      </c>
      <c r="F64" s="13"/>
    </row>
    <row r="65" spans="1:6" x14ac:dyDescent="0.25">
      <c r="A65" s="17" t="s">
        <v>83</v>
      </c>
      <c r="B65" s="18">
        <v>787</v>
      </c>
      <c r="C65" s="13" t="s">
        <v>9</v>
      </c>
      <c r="D65" s="13" t="s">
        <v>10</v>
      </c>
      <c r="E65" s="13" t="s">
        <v>24</v>
      </c>
      <c r="F65" s="13"/>
    </row>
    <row r="66" spans="1:6" x14ac:dyDescent="0.25">
      <c r="A66" s="19" t="s">
        <v>84</v>
      </c>
      <c r="B66" s="20">
        <v>376</v>
      </c>
      <c r="C66" s="13" t="s">
        <v>9</v>
      </c>
      <c r="D66" s="13" t="s">
        <v>10</v>
      </c>
      <c r="E66" s="13" t="s">
        <v>21</v>
      </c>
      <c r="F66" s="13"/>
    </row>
    <row r="67" spans="1:6" x14ac:dyDescent="0.25">
      <c r="A67" s="17" t="s">
        <v>85</v>
      </c>
      <c r="B67" s="18">
        <v>612</v>
      </c>
      <c r="C67" s="13" t="s">
        <v>22</v>
      </c>
      <c r="D67" s="13" t="s">
        <v>10</v>
      </c>
      <c r="E67" s="13" t="s">
        <v>33</v>
      </c>
      <c r="F67" s="13"/>
    </row>
    <row r="68" spans="1:6" x14ac:dyDescent="0.25">
      <c r="A68" s="17" t="s">
        <v>86</v>
      </c>
      <c r="B68" s="18">
        <v>46</v>
      </c>
      <c r="C68" s="13" t="s">
        <v>22</v>
      </c>
      <c r="D68" s="13" t="s">
        <v>10</v>
      </c>
      <c r="E68" s="13" t="s">
        <v>24</v>
      </c>
      <c r="F68" s="13"/>
    </row>
    <row r="69" spans="1:6" x14ac:dyDescent="0.25">
      <c r="A69" s="21" t="s">
        <v>87</v>
      </c>
      <c r="B69" s="20">
        <v>60633</v>
      </c>
      <c r="C69" s="13" t="s">
        <v>39</v>
      </c>
      <c r="D69" s="13" t="s">
        <v>10</v>
      </c>
      <c r="E69" s="13" t="s">
        <v>11</v>
      </c>
      <c r="F69" s="13"/>
    </row>
    <row r="70" spans="1:6" x14ac:dyDescent="0.25">
      <c r="A70" s="21" t="s">
        <v>88</v>
      </c>
      <c r="B70" s="20"/>
      <c r="C70" s="13" t="s">
        <v>18</v>
      </c>
      <c r="D70" s="13" t="s">
        <v>10</v>
      </c>
      <c r="E70" s="13" t="s">
        <v>21</v>
      </c>
      <c r="F70" s="13"/>
    </row>
    <row r="71" spans="1:6" x14ac:dyDescent="0.25">
      <c r="A71" s="22" t="s">
        <v>89</v>
      </c>
      <c r="B71" s="23">
        <v>1900</v>
      </c>
      <c r="C71" s="13" t="s">
        <v>18</v>
      </c>
      <c r="D71" s="13" t="s">
        <v>10</v>
      </c>
      <c r="E71" s="13" t="s">
        <v>41</v>
      </c>
      <c r="F71" s="13"/>
    </row>
    <row r="72" spans="1:6" x14ac:dyDescent="0.25">
      <c r="A72" s="17" t="s">
        <v>90</v>
      </c>
      <c r="B72" s="18">
        <v>1614</v>
      </c>
      <c r="C72" s="13" t="s">
        <v>18</v>
      </c>
      <c r="D72" s="13" t="s">
        <v>10</v>
      </c>
      <c r="E72" s="13" t="s">
        <v>24</v>
      </c>
      <c r="F72" s="13"/>
    </row>
    <row r="73" spans="1:6" x14ac:dyDescent="0.25">
      <c r="A73" s="17" t="s">
        <v>91</v>
      </c>
      <c r="B73" s="18">
        <v>1562</v>
      </c>
      <c r="C73" s="13" t="s">
        <v>18</v>
      </c>
      <c r="D73" s="13" t="s">
        <v>10</v>
      </c>
      <c r="E73" s="13" t="s">
        <v>41</v>
      </c>
      <c r="F73" s="13"/>
    </row>
    <row r="74" spans="1:6" x14ac:dyDescent="0.25">
      <c r="A74" s="17" t="s">
        <v>92</v>
      </c>
      <c r="B74" s="18">
        <v>1479</v>
      </c>
      <c r="C74" s="13" t="s">
        <v>18</v>
      </c>
      <c r="D74" s="13" t="s">
        <v>10</v>
      </c>
      <c r="E74" s="13" t="s">
        <v>21</v>
      </c>
      <c r="F74" s="13"/>
    </row>
    <row r="75" spans="1:6" x14ac:dyDescent="0.25">
      <c r="A75" s="17" t="s">
        <v>93</v>
      </c>
      <c r="B75" s="18">
        <v>1522</v>
      </c>
      <c r="C75" s="13" t="s">
        <v>18</v>
      </c>
      <c r="D75" s="13" t="s">
        <v>10</v>
      </c>
      <c r="E75" s="13" t="s">
        <v>41</v>
      </c>
      <c r="F75" s="13"/>
    </row>
    <row r="76" spans="1:6" x14ac:dyDescent="0.25">
      <c r="A76" s="17" t="s">
        <v>94</v>
      </c>
      <c r="B76" s="18">
        <v>784</v>
      </c>
      <c r="C76" s="13" t="s">
        <v>18</v>
      </c>
      <c r="D76" s="13" t="s">
        <v>10</v>
      </c>
      <c r="E76" s="13" t="s">
        <v>24</v>
      </c>
      <c r="F76" s="13"/>
    </row>
    <row r="77" spans="1:6" x14ac:dyDescent="0.25">
      <c r="A77" s="22" t="s">
        <v>95</v>
      </c>
      <c r="B77" s="23">
        <v>296</v>
      </c>
      <c r="C77" s="13" t="s">
        <v>39</v>
      </c>
      <c r="D77" s="13" t="s">
        <v>10</v>
      </c>
      <c r="E77" s="13" t="s">
        <v>33</v>
      </c>
      <c r="F77" s="13"/>
    </row>
    <row r="78" spans="1:6" x14ac:dyDescent="0.25">
      <c r="A78" s="19" t="s">
        <v>96</v>
      </c>
      <c r="B78" s="20">
        <v>791</v>
      </c>
      <c r="C78" s="13" t="s">
        <v>18</v>
      </c>
      <c r="D78" s="13" t="s">
        <v>10</v>
      </c>
      <c r="E78" s="13" t="s">
        <v>33</v>
      </c>
      <c r="F78" s="13"/>
    </row>
    <row r="79" spans="1:6" x14ac:dyDescent="0.25">
      <c r="A79" s="17" t="s">
        <v>97</v>
      </c>
      <c r="B79" s="18">
        <v>1377</v>
      </c>
      <c r="C79" s="13" t="s">
        <v>18</v>
      </c>
      <c r="D79" s="13" t="s">
        <v>10</v>
      </c>
      <c r="E79" s="13" t="s">
        <v>41</v>
      </c>
      <c r="F79" s="13"/>
    </row>
    <row r="80" spans="1:6" x14ac:dyDescent="0.25">
      <c r="A80" s="17" t="s">
        <v>98</v>
      </c>
      <c r="B80" s="18">
        <v>1878</v>
      </c>
      <c r="C80" s="13" t="s">
        <v>12</v>
      </c>
      <c r="D80" s="13" t="s">
        <v>10</v>
      </c>
      <c r="E80" s="13" t="s">
        <v>41</v>
      </c>
      <c r="F80" s="13"/>
    </row>
    <row r="81" spans="1:6" x14ac:dyDescent="0.25">
      <c r="A81" s="19" t="s">
        <v>99</v>
      </c>
      <c r="B81" s="20">
        <v>1827</v>
      </c>
      <c r="C81" s="13" t="s">
        <v>39</v>
      </c>
      <c r="D81" s="13" t="s">
        <v>10</v>
      </c>
      <c r="E81" s="13" t="s">
        <v>41</v>
      </c>
      <c r="F81" s="13"/>
    </row>
    <row r="82" spans="1:6" x14ac:dyDescent="0.25">
      <c r="A82" s="17" t="s">
        <v>100</v>
      </c>
      <c r="B82" s="18">
        <v>1879</v>
      </c>
      <c r="C82" s="13" t="s">
        <v>12</v>
      </c>
      <c r="D82" s="13" t="s">
        <v>10</v>
      </c>
      <c r="E82" s="13" t="s">
        <v>41</v>
      </c>
      <c r="F82" s="13"/>
    </row>
    <row r="83" spans="1:6" x14ac:dyDescent="0.25">
      <c r="A83" s="17" t="s">
        <v>101</v>
      </c>
      <c r="B83" s="18">
        <v>1880</v>
      </c>
      <c r="C83" s="13" t="s">
        <v>12</v>
      </c>
      <c r="D83" s="13" t="s">
        <v>10</v>
      </c>
      <c r="E83" s="13" t="s">
        <v>41</v>
      </c>
      <c r="F83" s="13"/>
    </row>
    <row r="84" spans="1:6" x14ac:dyDescent="0.25">
      <c r="A84" s="17" t="s">
        <v>78</v>
      </c>
      <c r="B84" s="18">
        <v>1882</v>
      </c>
      <c r="C84" s="13" t="s">
        <v>12</v>
      </c>
      <c r="D84" s="13" t="s">
        <v>10</v>
      </c>
      <c r="E84" s="13" t="s">
        <v>24</v>
      </c>
      <c r="F84" s="13"/>
    </row>
    <row r="85" spans="1:6" x14ac:dyDescent="0.25">
      <c r="A85" s="22" t="s">
        <v>102</v>
      </c>
      <c r="B85" s="23">
        <v>1667</v>
      </c>
      <c r="C85" s="13" t="s">
        <v>12</v>
      </c>
      <c r="D85" s="13" t="s">
        <v>10</v>
      </c>
      <c r="E85" s="13" t="s">
        <v>14</v>
      </c>
      <c r="F85" s="13"/>
    </row>
    <row r="86" spans="1:6" x14ac:dyDescent="0.25">
      <c r="A86" s="21" t="s">
        <v>103</v>
      </c>
      <c r="B86" s="20"/>
      <c r="C86" s="13" t="s">
        <v>12</v>
      </c>
      <c r="D86" s="13" t="s">
        <v>10</v>
      </c>
      <c r="E86" s="13" t="s">
        <v>21</v>
      </c>
      <c r="F86" s="13"/>
    </row>
    <row r="87" spans="1:6" x14ac:dyDescent="0.25">
      <c r="A87" s="19" t="s">
        <v>104</v>
      </c>
      <c r="B87" s="20"/>
      <c r="C87" s="13" t="s">
        <v>39</v>
      </c>
      <c r="D87" s="13" t="s">
        <v>10</v>
      </c>
      <c r="E87" s="13" t="s">
        <v>14</v>
      </c>
      <c r="F87" s="13"/>
    </row>
    <row r="88" spans="1:6" x14ac:dyDescent="0.25">
      <c r="A88" s="17" t="s">
        <v>105</v>
      </c>
      <c r="B88" s="18">
        <v>56</v>
      </c>
      <c r="C88" s="13" t="s">
        <v>39</v>
      </c>
      <c r="D88" s="13" t="s">
        <v>10</v>
      </c>
      <c r="E88" s="13" t="s">
        <v>24</v>
      </c>
      <c r="F88" s="13"/>
    </row>
    <row r="89" spans="1:6" x14ac:dyDescent="0.25">
      <c r="A89" s="19" t="s">
        <v>107</v>
      </c>
      <c r="B89" s="20">
        <v>1903</v>
      </c>
      <c r="C89" s="13" t="s">
        <v>39</v>
      </c>
      <c r="D89" s="13" t="s">
        <v>10</v>
      </c>
      <c r="E89" s="13" t="s">
        <v>41</v>
      </c>
      <c r="F89" s="13"/>
    </row>
    <row r="90" spans="1:6" x14ac:dyDescent="0.25">
      <c r="A90" s="17" t="s">
        <v>108</v>
      </c>
      <c r="B90" s="18">
        <v>733</v>
      </c>
      <c r="C90" s="13" t="s">
        <v>39</v>
      </c>
      <c r="D90" s="13" t="s">
        <v>10</v>
      </c>
      <c r="E90" s="13" t="s">
        <v>24</v>
      </c>
      <c r="F90" s="13"/>
    </row>
    <row r="91" spans="1:6" x14ac:dyDescent="0.25">
      <c r="A91" s="21" t="s">
        <v>206</v>
      </c>
      <c r="B91" s="20"/>
      <c r="C91" s="13" t="s">
        <v>22</v>
      </c>
      <c r="D91" s="13" t="s">
        <v>38</v>
      </c>
      <c r="E91" s="13" t="s">
        <v>14</v>
      </c>
      <c r="F91" s="13"/>
    </row>
    <row r="92" spans="1:6" x14ac:dyDescent="0.25">
      <c r="A92" s="21"/>
      <c r="B92" s="20"/>
      <c r="C92" s="13"/>
      <c r="D92" s="13"/>
      <c r="E92" s="13"/>
      <c r="F92" s="13"/>
    </row>
    <row r="93" spans="1:6" x14ac:dyDescent="0.25">
      <c r="A93" s="21"/>
      <c r="B93" s="20"/>
      <c r="C93" s="13"/>
      <c r="D93" s="13"/>
      <c r="E93" s="13"/>
      <c r="F93" s="13"/>
    </row>
    <row r="94" spans="1:6" x14ac:dyDescent="0.25">
      <c r="A94" s="21"/>
      <c r="B94" s="20"/>
      <c r="C94" s="13"/>
      <c r="D94" s="13"/>
      <c r="E94" s="13"/>
      <c r="F94" s="13"/>
    </row>
    <row r="95" spans="1:6" x14ac:dyDescent="0.25">
      <c r="A95" s="21"/>
      <c r="B95" s="20"/>
      <c r="C95" s="13"/>
      <c r="D95" s="13"/>
      <c r="E95" s="13"/>
      <c r="F95" s="13"/>
    </row>
    <row r="96" spans="1:6" x14ac:dyDescent="0.25">
      <c r="A96" s="21"/>
      <c r="B96" s="20"/>
      <c r="C96" s="13"/>
      <c r="D96" s="13"/>
      <c r="E96" s="13"/>
      <c r="F96" s="13"/>
    </row>
    <row r="97" spans="1:6" x14ac:dyDescent="0.25">
      <c r="A97" s="21"/>
      <c r="B97" s="20"/>
      <c r="C97" s="13"/>
      <c r="D97" s="13"/>
      <c r="E97" s="13"/>
      <c r="F97" s="13"/>
    </row>
    <row r="98" spans="1:6" x14ac:dyDescent="0.25">
      <c r="A98" s="21" t="s">
        <v>77</v>
      </c>
      <c r="B98" s="20"/>
      <c r="C98" s="13" t="s">
        <v>44</v>
      </c>
      <c r="D98" s="13" t="s">
        <v>10</v>
      </c>
      <c r="E98" s="13" t="s">
        <v>44</v>
      </c>
      <c r="F98" s="13"/>
    </row>
    <row r="99" spans="1:6" x14ac:dyDescent="0.25">
      <c r="A99" s="21" t="s">
        <v>116</v>
      </c>
      <c r="B99" s="20"/>
      <c r="C99" s="13" t="s">
        <v>44</v>
      </c>
      <c r="D99" s="13" t="s">
        <v>10</v>
      </c>
      <c r="E99" s="13" t="s">
        <v>44</v>
      </c>
      <c r="F99" s="13"/>
    </row>
    <row r="100" spans="1:6" x14ac:dyDescent="0.25">
      <c r="A100" s="21" t="s">
        <v>117</v>
      </c>
      <c r="B100" s="20"/>
      <c r="C100" s="13" t="s">
        <v>44</v>
      </c>
      <c r="D100" s="13" t="s">
        <v>10</v>
      </c>
      <c r="E100" s="13" t="s">
        <v>44</v>
      </c>
      <c r="F100" s="13"/>
    </row>
    <row r="101" spans="1:6" x14ac:dyDescent="0.25">
      <c r="A101" s="21" t="s">
        <v>118</v>
      </c>
      <c r="B101" s="20"/>
      <c r="C101" s="13" t="s">
        <v>44</v>
      </c>
      <c r="D101" s="13" t="s">
        <v>10</v>
      </c>
      <c r="E101" s="13" t="s">
        <v>44</v>
      </c>
      <c r="F101" s="13"/>
    </row>
    <row r="102" spans="1:6" x14ac:dyDescent="0.25">
      <c r="A102" s="21" t="s">
        <v>119</v>
      </c>
      <c r="B102" s="20"/>
      <c r="C102" s="13" t="s">
        <v>44</v>
      </c>
      <c r="D102" s="13" t="s">
        <v>10</v>
      </c>
      <c r="E102" s="13" t="s">
        <v>44</v>
      </c>
      <c r="F102" s="13"/>
    </row>
    <row r="103" spans="1:6" x14ac:dyDescent="0.25">
      <c r="A103" s="21" t="s">
        <v>120</v>
      </c>
      <c r="B103" s="20"/>
      <c r="C103" s="13" t="s">
        <v>44</v>
      </c>
      <c r="D103" s="13" t="s">
        <v>10</v>
      </c>
      <c r="E103" s="13" t="s">
        <v>44</v>
      </c>
      <c r="F103" s="13"/>
    </row>
    <row r="104" spans="1:6" x14ac:dyDescent="0.25">
      <c r="A104" s="21" t="s">
        <v>121</v>
      </c>
      <c r="B104" s="20"/>
      <c r="C104" s="13" t="s">
        <v>44</v>
      </c>
      <c r="D104" s="13" t="s">
        <v>10</v>
      </c>
      <c r="E104" s="13" t="s">
        <v>44</v>
      </c>
      <c r="F104" s="13"/>
    </row>
    <row r="105" spans="1:6" x14ac:dyDescent="0.25">
      <c r="A105" s="21" t="s">
        <v>122</v>
      </c>
      <c r="B105" s="20"/>
      <c r="C105" s="13" t="s">
        <v>44</v>
      </c>
      <c r="D105" s="13" t="s">
        <v>10</v>
      </c>
      <c r="E105" s="13" t="s">
        <v>44</v>
      </c>
      <c r="F105" s="13"/>
    </row>
    <row r="106" spans="1:6" x14ac:dyDescent="0.25">
      <c r="A106" s="21" t="s">
        <v>123</v>
      </c>
      <c r="B106" s="20"/>
      <c r="C106" s="13" t="s">
        <v>44</v>
      </c>
      <c r="D106" s="13" t="s">
        <v>38</v>
      </c>
      <c r="E106" s="13" t="s">
        <v>44</v>
      </c>
      <c r="F106" s="13"/>
    </row>
    <row r="107" spans="1:6" x14ac:dyDescent="0.25">
      <c r="A107" s="21" t="s">
        <v>124</v>
      </c>
      <c r="B107" s="20"/>
      <c r="C107" s="13" t="s">
        <v>44</v>
      </c>
      <c r="D107" s="13" t="s">
        <v>10</v>
      </c>
      <c r="E107" s="13" t="s">
        <v>44</v>
      </c>
      <c r="F107" s="13"/>
    </row>
    <row r="108" spans="1:6" x14ac:dyDescent="0.25">
      <c r="A108" s="21"/>
      <c r="B108" s="20"/>
      <c r="C108" s="13"/>
      <c r="D108" s="13"/>
      <c r="E108" s="13"/>
      <c r="F108" s="13"/>
    </row>
    <row r="109" spans="1:6" x14ac:dyDescent="0.25">
      <c r="A109" s="21"/>
      <c r="B109" s="20"/>
      <c r="C109" s="13"/>
      <c r="D109" s="13"/>
      <c r="E109" s="13"/>
      <c r="F109" s="13"/>
    </row>
  </sheetData>
  <dataValidations count="4">
    <dataValidation type="list" allowBlank="1" showInputMessage="1" showErrorMessage="1" sqref="F2:F109" xr:uid="{8CD8D7C2-C1B7-4642-9BA5-BAF31EE60E71}">
      <formula1>$P$11:$P$24</formula1>
    </dataValidation>
    <dataValidation type="list" allowBlank="1" showInputMessage="1" showErrorMessage="1" sqref="E2:E109" xr:uid="{D56EBB60-466F-46F5-8B06-D6F31B748C51}">
      <formula1>$N$11:$N$21</formula1>
    </dataValidation>
    <dataValidation type="list" allowBlank="1" showInputMessage="1" showErrorMessage="1" sqref="C2:C109" xr:uid="{0AA807FF-8F6B-4240-85FA-32126880F4AB}">
      <formula1>$I$11:$I$17</formula1>
    </dataValidation>
    <dataValidation type="list" allowBlank="1" showInputMessage="1" showErrorMessage="1" sqref="D2:D109" xr:uid="{7E7C2045-24EE-4713-98BB-A63C71CE54ED}">
      <formula1>$I$22:$I$25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22"/>
  <sheetViews>
    <sheetView workbookViewId="0">
      <selection activeCell="K53" sqref="K53:L54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115" t="s">
        <v>178</v>
      </c>
    </row>
    <row r="3" spans="2:2" x14ac:dyDescent="0.3">
      <c r="B3" t="s">
        <v>186</v>
      </c>
    </row>
    <row r="4" spans="2:2" x14ac:dyDescent="0.3">
      <c r="B4" s="74" t="s">
        <v>179</v>
      </c>
    </row>
    <row r="5" spans="2:2" x14ac:dyDescent="0.3">
      <c r="B5" t="s">
        <v>180</v>
      </c>
    </row>
    <row r="6" spans="2:2" x14ac:dyDescent="0.3">
      <c r="B6" t="s">
        <v>181</v>
      </c>
    </row>
    <row r="7" spans="2:2" x14ac:dyDescent="0.3">
      <c r="B7" t="s">
        <v>182</v>
      </c>
    </row>
    <row r="8" spans="2:2" x14ac:dyDescent="0.3">
      <c r="B8" t="s">
        <v>183</v>
      </c>
    </row>
    <row r="10" spans="2:2" x14ac:dyDescent="0.3">
      <c r="B10" s="74" t="s">
        <v>185</v>
      </c>
    </row>
    <row r="11" spans="2:2" x14ac:dyDescent="0.3">
      <c r="B11" t="s">
        <v>189</v>
      </c>
    </row>
    <row r="12" spans="2:2" x14ac:dyDescent="0.3">
      <c r="B12" t="s">
        <v>184</v>
      </c>
    </row>
    <row r="14" spans="2:2" x14ac:dyDescent="0.3">
      <c r="B14" s="74" t="s">
        <v>187</v>
      </c>
    </row>
    <row r="15" spans="2:2" x14ac:dyDescent="0.3">
      <c r="B15" t="s">
        <v>188</v>
      </c>
    </row>
    <row r="16" spans="2:2" x14ac:dyDescent="0.3">
      <c r="B16" t="s">
        <v>191</v>
      </c>
    </row>
    <row r="18" spans="2:2" x14ac:dyDescent="0.3">
      <c r="B18" t="s">
        <v>190</v>
      </c>
    </row>
    <row r="20" spans="2:2" x14ac:dyDescent="0.3">
      <c r="B20" t="s">
        <v>193</v>
      </c>
    </row>
    <row r="21" spans="2:2" x14ac:dyDescent="0.3">
      <c r="B21" t="s">
        <v>194</v>
      </c>
    </row>
    <row r="22" spans="2:2" x14ac:dyDescent="0.3">
      <c r="B2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Scores</vt:lpstr>
      <vt:lpstr>Teams</vt:lpstr>
      <vt:lpstr>Gary Wells</vt:lpstr>
      <vt:lpstr>Overall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2025-03-04T22:00:21Z</cp:lastPrinted>
  <dcterms:created xsi:type="dcterms:W3CDTF">2024-09-24T19:19:05Z</dcterms:created>
  <dcterms:modified xsi:type="dcterms:W3CDTF">2025-03-07T19:35:18Z</dcterms:modified>
</cp:coreProperties>
</file>